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Data" sheetId="1" r:id="rId1"/>
    <sheet name="Unhedged position" sheetId="2" r:id="rId2"/>
    <sheet name="Hedge-forward" sheetId="3" r:id="rId3"/>
    <sheet name="Hedge-option" sheetId="4" r:id="rId4"/>
    <sheet name="Hedge-option-partial" sheetId="5" r:id="rId5"/>
    <sheet name="Hedge-option-forward" sheetId="6" r:id="rId6"/>
  </sheets>
  <definedNames>
    <definedName name="Costs">'Data'!$C$7</definedName>
    <definedName name="Dividend">'Data'!$C$8</definedName>
    <definedName name="Exercise_rate" localSheetId="5">'Hedge-option-forward'!$C$7</definedName>
    <definedName name="Exercise_rate" localSheetId="4">'Hedge-option-partial'!$C$7</definedName>
    <definedName name="Exercise_rate">'Hedge-option'!$C$7</definedName>
    <definedName name="forward_rate">'Data'!$F$11</definedName>
    <definedName name="r_GBP">'Data'!$C$13</definedName>
    <definedName name="r_loan">'Data'!$C$14</definedName>
    <definedName name="r_USD">'Data'!$C$12</definedName>
    <definedName name="rate_0">'Data'!$C$16</definedName>
    <definedName name="Sales_in_USD">'Data'!$C$6</definedName>
    <definedName name="sigma_rate">'Data'!$C$17</definedName>
    <definedName name="solver_adj" localSheetId="3" hidden="1">'Hedge-option'!$C$7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'Hedge-option'!$C$22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tau">#REF!</definedName>
    <definedName name="Tax_rate">'Data'!$C$10</definedName>
    <definedName name="time">'Data'!$C$18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Marek Capinski</author>
  </authors>
  <commentList>
    <comment ref="C7" authorId="0">
      <text>
        <r>
          <rPr>
            <sz val="8"/>
            <rFont val="Tahoma"/>
            <family val="0"/>
          </rPr>
          <t xml:space="preserve">This is the forward rate computed in Data!F11
</t>
        </r>
      </text>
    </comment>
  </commentList>
</comments>
</file>

<file path=xl/sharedStrings.xml><?xml version="1.0" encoding="utf-8"?>
<sst xmlns="http://schemas.openxmlformats.org/spreadsheetml/2006/main" count="145" uniqueCount="42">
  <si>
    <t>time</t>
  </si>
  <si>
    <t>"Mathematics for Finance" by M. Capinski and T. Zastawniak</t>
  </si>
  <si>
    <t>input data</t>
  </si>
  <si>
    <t>auxiliary data</t>
  </si>
  <si>
    <t>output data</t>
  </si>
  <si>
    <t>Chapter 9: Financial Engineering</t>
  </si>
  <si>
    <t>Case 9.1</t>
  </si>
  <si>
    <t>Sales in USD</t>
  </si>
  <si>
    <t>Rate of exchange</t>
  </si>
  <si>
    <t>Revenue in GBP</t>
  </si>
  <si>
    <t>Costs</t>
  </si>
  <si>
    <t>EBIT</t>
  </si>
  <si>
    <t>Tax</t>
  </si>
  <si>
    <t>EAT</t>
  </si>
  <si>
    <t>Dividend</t>
  </si>
  <si>
    <t>Sales_in_USD</t>
  </si>
  <si>
    <t>Tax_rate</t>
  </si>
  <si>
    <t>r_USD</t>
  </si>
  <si>
    <t>r_GBP</t>
  </si>
  <si>
    <t>r_loan</t>
  </si>
  <si>
    <t>in 000'</t>
  </si>
  <si>
    <t>P&amp;L</t>
  </si>
  <si>
    <t>Result</t>
  </si>
  <si>
    <t>VaR</t>
  </si>
  <si>
    <t>confidence</t>
  </si>
  <si>
    <t>N^-1(confidence)</t>
  </si>
  <si>
    <t>rate of exchange</t>
  </si>
  <si>
    <t>rate_0</t>
  </si>
  <si>
    <t>sigma_rate</t>
  </si>
  <si>
    <t>exchange rate at the end of the period</t>
  </si>
  <si>
    <t>forward_rate</t>
  </si>
  <si>
    <t>Interest</t>
  </si>
  <si>
    <t>Loan repaid</t>
  </si>
  <si>
    <t>Option premium</t>
  </si>
  <si>
    <t>d1</t>
  </si>
  <si>
    <t>d2</t>
  </si>
  <si>
    <t>Cost of options</t>
  </si>
  <si>
    <t>Exercise_rate</t>
  </si>
  <si>
    <t>Number of options</t>
  </si>
  <si>
    <t>EBT</t>
  </si>
  <si>
    <t>dynamic data</t>
  </si>
  <si>
    <t>% of options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</si>
</sst>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"/>
    <numFmt numFmtId="182" formatCode="0.0%"/>
    <numFmt numFmtId="183" formatCode="0.0"/>
    <numFmt numFmtId="184" formatCode="0.000"/>
    <numFmt numFmtId="185" formatCode="0.0000000"/>
    <numFmt numFmtId="186" formatCode="0.000000000"/>
    <numFmt numFmtId="187" formatCode="0.000000"/>
    <numFmt numFmtId="188" formatCode="0.00000"/>
    <numFmt numFmtId="189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8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 horizontal="center"/>
    </xf>
    <xf numFmtId="0" fontId="0" fillId="6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9" fontId="0" fillId="6" borderId="7" xfId="0" applyNumberFormat="1" applyFill="1" applyBorder="1" applyAlignment="1">
      <alignment/>
    </xf>
    <xf numFmtId="9" fontId="0" fillId="6" borderId="8" xfId="0" applyNumberFormat="1" applyFill="1" applyBorder="1" applyAlignment="1">
      <alignment/>
    </xf>
    <xf numFmtId="9" fontId="0" fillId="6" borderId="9" xfId="0" applyNumberFormat="1" applyFill="1" applyBorder="1" applyAlignment="1">
      <alignment/>
    </xf>
    <xf numFmtId="0" fontId="0" fillId="2" borderId="10" xfId="0" applyFont="1" applyFill="1" applyBorder="1" applyAlignment="1">
      <alignment/>
    </xf>
    <xf numFmtId="9" fontId="0" fillId="6" borderId="11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4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8" xfId="0" applyFill="1" applyBorder="1" applyAlignment="1">
      <alignment/>
    </xf>
    <xf numFmtId="9" fontId="0" fillId="2" borderId="4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3" xfId="0" applyFill="1" applyBorder="1" applyAlignment="1">
      <alignment/>
    </xf>
    <xf numFmtId="9" fontId="0" fillId="2" borderId="5" xfId="19" applyFont="1" applyFill="1" applyBorder="1" applyAlignment="1">
      <alignment/>
    </xf>
    <xf numFmtId="9" fontId="0" fillId="2" borderId="7" xfId="19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10" xfId="0" applyFill="1" applyBorder="1" applyAlignment="1">
      <alignment/>
    </xf>
    <xf numFmtId="180" fontId="0" fillId="3" borderId="8" xfId="0" applyNumberFormat="1" applyFill="1" applyBorder="1" applyAlignment="1">
      <alignment horizontal="center"/>
    </xf>
    <xf numFmtId="180" fontId="0" fillId="3" borderId="9" xfId="0" applyNumberFormat="1" applyFill="1" applyBorder="1" applyAlignment="1">
      <alignment horizontal="center"/>
    </xf>
    <xf numFmtId="180" fontId="0" fillId="4" borderId="11" xfId="0" applyNumberFormat="1" applyFill="1" applyBorder="1" applyAlignment="1">
      <alignment horizontal="center"/>
    </xf>
    <xf numFmtId="180" fontId="0" fillId="3" borderId="8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4" borderId="9" xfId="0" applyNumberFormat="1" applyFill="1" applyBorder="1" applyAlignment="1">
      <alignment/>
    </xf>
    <xf numFmtId="180" fontId="0" fillId="4" borderId="7" xfId="0" applyNumberFormat="1" applyFill="1" applyBorder="1" applyAlignment="1">
      <alignment horizontal="center"/>
    </xf>
    <xf numFmtId="180" fontId="0" fillId="4" borderId="9" xfId="0" applyNumberFormat="1" applyFill="1" applyBorder="1" applyAlignment="1">
      <alignment horizontal="center"/>
    </xf>
    <xf numFmtId="180" fontId="0" fillId="3" borderId="9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4" borderId="11" xfId="0" applyNumberFormat="1" applyFill="1" applyBorder="1" applyAlignment="1">
      <alignment/>
    </xf>
    <xf numFmtId="1" fontId="0" fillId="4" borderId="12" xfId="0" applyNumberFormat="1" applyFill="1" applyBorder="1" applyAlignment="1">
      <alignment/>
    </xf>
    <xf numFmtId="183" fontId="0" fillId="6" borderId="12" xfId="0" applyNumberFormat="1" applyFill="1" applyBorder="1" applyAlignment="1">
      <alignment horizontal="center"/>
    </xf>
    <xf numFmtId="183" fontId="0" fillId="6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0" fillId="6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" fontId="0" fillId="3" borderId="16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4" borderId="13" xfId="0" applyNumberFormat="1" applyFill="1" applyBorder="1" applyAlignment="1">
      <alignment/>
    </xf>
    <xf numFmtId="1" fontId="0" fillId="3" borderId="15" xfId="0" applyNumberFormat="1" applyFill="1" applyBorder="1" applyAlignment="1">
      <alignment/>
    </xf>
    <xf numFmtId="183" fontId="0" fillId="2" borderId="0" xfId="0" applyNumberForma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" fillId="5" borderId="21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1" fontId="0" fillId="3" borderId="11" xfId="0" applyNumberFormat="1" applyFill="1" applyBorder="1" applyAlignment="1">
      <alignment/>
    </xf>
    <xf numFmtId="9" fontId="0" fillId="2" borderId="17" xfId="19" applyFont="1" applyFill="1" applyBorder="1" applyAlignment="1">
      <alignment/>
    </xf>
    <xf numFmtId="0" fontId="1" fillId="7" borderId="0" xfId="0" applyFont="1" applyFill="1" applyAlignment="1">
      <alignment/>
    </xf>
    <xf numFmtId="1" fontId="0" fillId="3" borderId="0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0" fontId="0" fillId="2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Rate of exchange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'Unhedged position'!$D$7:$N$7</c:f>
              <c:numCache/>
            </c:numRef>
          </c:cat>
          <c:val>
            <c:numRef>
              <c:f>'Unhedged position'!$D$7:$N$7</c:f>
              <c:numCache/>
            </c:numRef>
          </c:val>
          <c:smooth val="0"/>
        </c:ser>
        <c:ser>
          <c:idx val="1"/>
          <c:order val="1"/>
          <c:tx>
            <c:v>Result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'Unhedged position'!$D$7:$N$7</c:f>
              <c:numCache/>
            </c:numRef>
          </c:cat>
          <c:val>
            <c:numRef>
              <c:f>'Unhedged position'!$D$14:$N$14</c:f>
              <c:numCache/>
            </c:numRef>
          </c:val>
          <c:smooth val="0"/>
        </c:ser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3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Rate of exchange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'Hedge-forward'!$D$7:$N$7</c:f>
              <c:numCache/>
            </c:numRef>
          </c:cat>
          <c:val>
            <c:numRef>
              <c:f>'Hedge-forward'!$D$7:$N$7</c:f>
              <c:numCache/>
            </c:numRef>
          </c:val>
          <c:smooth val="0"/>
        </c:ser>
        <c:ser>
          <c:idx val="1"/>
          <c:order val="1"/>
          <c:tx>
            <c:v>Result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'Hedge-forward'!$D$7:$N$7</c:f>
              <c:numCache/>
            </c:numRef>
          </c:cat>
          <c:val>
            <c:numRef>
              <c:f>'Hedge-forward'!$D$14:$N$14</c:f>
              <c:numCache/>
            </c:numRef>
          </c:val>
          <c:smooth val="0"/>
        </c:ser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  <c:max val="3000"/>
          <c:min val="-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7040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Heging with options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'Hedge-option'!$D$7:$N$7</c:f>
              <c:numCache/>
            </c:numRef>
          </c:cat>
          <c:val>
            <c:numRef>
              <c:f>'Hedge-option'!$D$22:$N$22</c:f>
              <c:numCache/>
            </c:numRef>
          </c:val>
          <c:smooth val="0"/>
        </c:ser>
        <c:ser>
          <c:idx val="2"/>
          <c:order val="1"/>
          <c:tx>
            <c:v>Unhedged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'Unhedged position'!$D$14:$N$14</c:f>
              <c:numCache>
                <c:ptCount val="11"/>
                <c:pt idx="0">
                  <c:v>2750</c:v>
                </c:pt>
                <c:pt idx="1">
                  <c:v>2168.1818181818176</c:v>
                </c:pt>
                <c:pt idx="2">
                  <c:v>1683.3333333333335</c:v>
                </c:pt>
                <c:pt idx="3">
                  <c:v>1273.0769230769229</c:v>
                </c:pt>
                <c:pt idx="4">
                  <c:v>921.4285714285716</c:v>
                </c:pt>
                <c:pt idx="5">
                  <c:v>616.6666666666665</c:v>
                </c:pt>
                <c:pt idx="6">
                  <c:v>350</c:v>
                </c:pt>
                <c:pt idx="7">
                  <c:v>114.70588235294122</c:v>
                </c:pt>
                <c:pt idx="8">
                  <c:v>-94.44444444444457</c:v>
                </c:pt>
                <c:pt idx="9">
                  <c:v>-281.5789473684206</c:v>
                </c:pt>
                <c:pt idx="10">
                  <c:v>-450</c:v>
                </c:pt>
              </c:numCache>
            </c:numRef>
          </c:val>
          <c:smooth val="0"/>
        </c:ser>
        <c:axId val="42744314"/>
        <c:axId val="49154507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  <c:max val="3000"/>
          <c:min val="-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Partial hedging with options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'Hedge-option-partial'!$D$7:$N$7</c:f>
              <c:numCache/>
            </c:numRef>
          </c:cat>
          <c:val>
            <c:numRef>
              <c:f>'Hedge-option-partial'!$D$23:$N$23</c:f>
              <c:numCache/>
            </c:numRef>
          </c:val>
          <c:smooth val="0"/>
        </c:ser>
        <c:ser>
          <c:idx val="2"/>
          <c:order val="1"/>
          <c:tx>
            <c:v>Unhedged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'Unhedged position'!$D$14:$N$14</c:f>
              <c:numCache>
                <c:ptCount val="11"/>
                <c:pt idx="0">
                  <c:v>2750</c:v>
                </c:pt>
                <c:pt idx="1">
                  <c:v>2168.1818181818176</c:v>
                </c:pt>
                <c:pt idx="2">
                  <c:v>1683.3333333333335</c:v>
                </c:pt>
                <c:pt idx="3">
                  <c:v>1273.0769230769229</c:v>
                </c:pt>
                <c:pt idx="4">
                  <c:v>921.4285714285716</c:v>
                </c:pt>
                <c:pt idx="5">
                  <c:v>616.6666666666665</c:v>
                </c:pt>
                <c:pt idx="6">
                  <c:v>350</c:v>
                </c:pt>
                <c:pt idx="7">
                  <c:v>114.70588235294122</c:v>
                </c:pt>
                <c:pt idx="8">
                  <c:v>-94.44444444444457</c:v>
                </c:pt>
                <c:pt idx="9">
                  <c:v>-281.5789473684206</c:v>
                </c:pt>
                <c:pt idx="10">
                  <c:v>-450</c:v>
                </c:pt>
              </c:numCache>
            </c:numRef>
          </c:val>
          <c:smooth val="0"/>
        </c:ser>
        <c:axId val="39737380"/>
        <c:axId val="22092101"/>
      </c:line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  <c:max val="3000"/>
          <c:min val="-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Options-forward hedging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'Hedge-option-forward'!$D$7:$N$7</c:f>
              <c:numCache/>
            </c:numRef>
          </c:cat>
          <c:val>
            <c:numRef>
              <c:f>'Hedge-option-forward'!$D$23:$N$23</c:f>
              <c:numCache/>
            </c:numRef>
          </c:val>
          <c:smooth val="0"/>
        </c:ser>
        <c:ser>
          <c:idx val="2"/>
          <c:order val="1"/>
          <c:tx>
            <c:v>Unhedged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'Unhedged position'!$D$14:$N$14</c:f>
              <c:numCache>
                <c:ptCount val="11"/>
                <c:pt idx="0">
                  <c:v>2750</c:v>
                </c:pt>
                <c:pt idx="1">
                  <c:v>2168.1818181818176</c:v>
                </c:pt>
                <c:pt idx="2">
                  <c:v>1683.3333333333335</c:v>
                </c:pt>
                <c:pt idx="3">
                  <c:v>1273.0769230769229</c:v>
                </c:pt>
                <c:pt idx="4">
                  <c:v>921.4285714285716</c:v>
                </c:pt>
                <c:pt idx="5">
                  <c:v>616.6666666666665</c:v>
                </c:pt>
                <c:pt idx="6">
                  <c:v>350</c:v>
                </c:pt>
                <c:pt idx="7">
                  <c:v>114.70588235294122</c:v>
                </c:pt>
                <c:pt idx="8">
                  <c:v>-94.44444444444457</c:v>
                </c:pt>
                <c:pt idx="9">
                  <c:v>-281.5789473684206</c:v>
                </c:pt>
                <c:pt idx="10">
                  <c:v>-450</c:v>
                </c:pt>
              </c:numCache>
            </c:numRef>
          </c:val>
          <c:smooth val="0"/>
        </c:ser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  <c:max val="3000"/>
          <c:min val="-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4.xml" /><Relationship Id="rId3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chart" Target="/xl/charts/chart5.xml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152400</xdr:rowOff>
    </xdr:from>
    <xdr:to>
      <xdr:col>14</xdr:col>
      <xdr:colOff>228600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314450" y="2419350"/>
        <a:ext cx="4562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152400</xdr:rowOff>
    </xdr:from>
    <xdr:to>
      <xdr:col>14</xdr:col>
      <xdr:colOff>228600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314450" y="2419350"/>
        <a:ext cx="4562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</xdr:row>
      <xdr:rowOff>9525</xdr:rowOff>
    </xdr:from>
    <xdr:to>
      <xdr:col>16</xdr:col>
      <xdr:colOff>390525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33375"/>
          <a:ext cx="168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23</xdr:row>
      <xdr:rowOff>142875</xdr:rowOff>
    </xdr:from>
    <xdr:to>
      <xdr:col>17</xdr:col>
      <xdr:colOff>400050</xdr:colOff>
      <xdr:row>41</xdr:row>
      <xdr:rowOff>104775</xdr:rowOff>
    </xdr:to>
    <xdr:graphicFrame>
      <xdr:nvGraphicFramePr>
        <xdr:cNvPr id="2" name="Chart 1"/>
        <xdr:cNvGraphicFramePr/>
      </xdr:nvGraphicFramePr>
      <xdr:xfrm>
        <a:off x="1409700" y="3886200"/>
        <a:ext cx="58388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323850</xdr:colOff>
      <xdr:row>42</xdr:row>
      <xdr:rowOff>85725</xdr:rowOff>
    </xdr:from>
    <xdr:to>
      <xdr:col>11</xdr:col>
      <xdr:colOff>276225</xdr:colOff>
      <xdr:row>44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6905625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2</xdr:row>
      <xdr:rowOff>0</xdr:rowOff>
    </xdr:from>
    <xdr:to>
      <xdr:col>16</xdr:col>
      <xdr:colOff>381000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850"/>
          <a:ext cx="168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24</xdr:row>
      <xdr:rowOff>142875</xdr:rowOff>
    </xdr:from>
    <xdr:to>
      <xdr:col>18</xdr:col>
      <xdr:colOff>419100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409700" y="4067175"/>
        <a:ext cx="62960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323850</xdr:colOff>
      <xdr:row>43</xdr:row>
      <xdr:rowOff>85725</xdr:rowOff>
    </xdr:from>
    <xdr:to>
      <xdr:col>11</xdr:col>
      <xdr:colOff>276225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7086600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2</xdr:row>
      <xdr:rowOff>0</xdr:rowOff>
    </xdr:from>
    <xdr:to>
      <xdr:col>16</xdr:col>
      <xdr:colOff>381000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23850"/>
          <a:ext cx="168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24</xdr:row>
      <xdr:rowOff>142875</xdr:rowOff>
    </xdr:from>
    <xdr:to>
      <xdr:col>18</xdr:col>
      <xdr:colOff>238125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409700" y="4067175"/>
        <a:ext cx="6115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323850</xdr:colOff>
      <xdr:row>43</xdr:row>
      <xdr:rowOff>85725</xdr:rowOff>
    </xdr:from>
    <xdr:to>
      <xdr:col>11</xdr:col>
      <xdr:colOff>276225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7086600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Z2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7.28125" style="1" customWidth="1"/>
    <col min="4" max="4" width="4.421875" style="1" bestFit="1" customWidth="1"/>
    <col min="5" max="5" width="11.00390625" style="1" bestFit="1" customWidth="1"/>
    <col min="6" max="6" width="14.7109375" style="1" bestFit="1" customWidth="1"/>
    <col min="7" max="7" width="14.8515625" style="1" bestFit="1" customWidth="1"/>
    <col min="8" max="9" width="6.7109375" style="1" customWidth="1"/>
    <col min="10" max="12" width="7.140625" style="1" customWidth="1"/>
    <col min="13" max="22" width="6.7109375" style="1" customWidth="1"/>
    <col min="23" max="26" width="7.7109375" style="1" customWidth="1"/>
    <col min="27" max="16384" width="9.140625" style="1" customWidth="1"/>
  </cols>
  <sheetData>
    <row r="1" s="75" customFormat="1" ht="12.75">
      <c r="B1" s="75" t="s">
        <v>1</v>
      </c>
    </row>
    <row r="2" s="75" customFormat="1" ht="12.75">
      <c r="B2" s="75" t="s">
        <v>5</v>
      </c>
    </row>
    <row r="3" spans="2:8" s="8" customFormat="1" ht="12.75">
      <c r="B3" s="8" t="s">
        <v>6</v>
      </c>
      <c r="H3" s="11"/>
    </row>
    <row r="4" s="8" customFormat="1" ht="12.75"/>
    <row r="5" spans="2:3" s="11" customFormat="1" ht="12.75">
      <c r="B5" s="1"/>
      <c r="C5" s="13" t="s">
        <v>20</v>
      </c>
    </row>
    <row r="6" spans="2:7" ht="12.75">
      <c r="B6" s="15" t="s">
        <v>15</v>
      </c>
      <c r="C6" s="19">
        <v>8000</v>
      </c>
      <c r="E6" s="29" t="s">
        <v>24</v>
      </c>
      <c r="F6" s="34" t="s">
        <v>25</v>
      </c>
      <c r="G6" s="30" t="s">
        <v>26</v>
      </c>
    </row>
    <row r="7" spans="2:16" ht="12.75">
      <c r="B7" s="16" t="s">
        <v>10</v>
      </c>
      <c r="C7" s="20">
        <v>3000</v>
      </c>
      <c r="E7" s="32">
        <v>0.95</v>
      </c>
      <c r="F7" s="41">
        <f>NORMSINV(E7)</f>
        <v>1.644853475669982</v>
      </c>
      <c r="G7" s="47">
        <f>rate_0*EXP((r_USD-r_GBP)*time-0.5*sigma_rate^2*time+F7*sigma_rate*time^0.5)</f>
        <v>1.9649791814756747</v>
      </c>
      <c r="K7" s="6"/>
      <c r="L7" s="6"/>
      <c r="M7" s="6"/>
      <c r="N7" s="6"/>
      <c r="O7" s="6"/>
      <c r="P7" s="6"/>
    </row>
    <row r="8" spans="2:26" ht="12.75">
      <c r="B8" s="18" t="s">
        <v>14</v>
      </c>
      <c r="C8" s="21">
        <v>1250</v>
      </c>
      <c r="E8" s="33">
        <v>0.99</v>
      </c>
      <c r="F8" s="42">
        <f>NORMSINV(E8)</f>
        <v>2.32634699993243</v>
      </c>
      <c r="G8" s="48">
        <f>rate_0*EXP((r_USD-r_GBP)*time-0.5*sigma_rate^2*time+F8*sigma_rate*time^0.5)</f>
        <v>2.176473005528454</v>
      </c>
      <c r="Z8" s="7"/>
    </row>
    <row r="10" spans="2:3" ht="12.75">
      <c r="B10" s="25" t="s">
        <v>16</v>
      </c>
      <c r="C10" s="26">
        <v>0.2</v>
      </c>
    </row>
    <row r="11" spans="5:6" ht="12.75">
      <c r="E11" s="40" t="s">
        <v>30</v>
      </c>
      <c r="F11" s="43">
        <f>rate_0*EXP((r_USD-r_GBP)*time)</f>
        <v>1.5527128536776131</v>
      </c>
    </row>
    <row r="12" spans="2:3" ht="12.75">
      <c r="B12" s="15" t="s">
        <v>17</v>
      </c>
      <c r="C12" s="22">
        <v>0.08</v>
      </c>
    </row>
    <row r="13" spans="2:3" ht="12.75">
      <c r="B13" s="16" t="s">
        <v>18</v>
      </c>
      <c r="C13" s="23">
        <v>0.11</v>
      </c>
    </row>
    <row r="14" spans="2:3" ht="12.75">
      <c r="B14" s="18" t="s">
        <v>19</v>
      </c>
      <c r="C14" s="24">
        <v>0.16</v>
      </c>
    </row>
    <row r="16" spans="2:3" ht="12.75">
      <c r="B16" s="15" t="s">
        <v>27</v>
      </c>
      <c r="C16" s="19">
        <v>1.6</v>
      </c>
    </row>
    <row r="17" spans="2:3" ht="12.75">
      <c r="B17" s="16" t="s">
        <v>28</v>
      </c>
      <c r="C17" s="23">
        <v>0.15</v>
      </c>
    </row>
    <row r="18" spans="2:3" ht="12.75">
      <c r="B18" s="18" t="s">
        <v>0</v>
      </c>
      <c r="C18" s="21">
        <v>1</v>
      </c>
    </row>
    <row r="20" ht="12.75">
      <c r="B20" s="14" t="s">
        <v>2</v>
      </c>
    </row>
    <row r="21" ht="12.75">
      <c r="B21" s="9" t="s">
        <v>3</v>
      </c>
    </row>
    <row r="22" ht="12.75">
      <c r="B22" s="10" t="s"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Z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7.00390625" style="1" customWidth="1"/>
    <col min="3" max="3" width="8.421875" style="1" customWidth="1"/>
    <col min="4" max="14" width="5.140625" style="1" customWidth="1"/>
    <col min="15" max="15" width="6.7109375" style="1" customWidth="1"/>
    <col min="16" max="16" width="4.57421875" style="1" bestFit="1" customWidth="1"/>
    <col min="17" max="22" width="6.7109375" style="1" customWidth="1"/>
    <col min="23" max="26" width="7.7109375" style="1" customWidth="1"/>
    <col min="27" max="16384" width="9.140625" style="1" customWidth="1"/>
  </cols>
  <sheetData>
    <row r="1" s="75" customFormat="1" ht="12.75">
      <c r="B1" s="75" t="s">
        <v>1</v>
      </c>
    </row>
    <row r="2" s="75" customFormat="1" ht="12.75">
      <c r="B2" s="75" t="s">
        <v>5</v>
      </c>
    </row>
    <row r="3" s="8" customFormat="1" ht="12.75">
      <c r="B3" s="8" t="s">
        <v>6</v>
      </c>
    </row>
    <row r="4" s="11" customFormat="1" ht="12.75"/>
    <row r="5" spans="2:18" ht="12.75">
      <c r="B5" s="81" t="s">
        <v>21</v>
      </c>
      <c r="C5" s="82"/>
      <c r="Q5" s="81" t="s">
        <v>24</v>
      </c>
      <c r="R5" s="82"/>
    </row>
    <row r="6" spans="2:18" ht="12.75">
      <c r="B6" s="15" t="s">
        <v>7</v>
      </c>
      <c r="C6" s="19">
        <f>Sales_in_USD</f>
        <v>8000</v>
      </c>
      <c r="D6" s="81" t="s">
        <v>29</v>
      </c>
      <c r="E6" s="83"/>
      <c r="F6" s="83"/>
      <c r="G6" s="83"/>
      <c r="H6" s="83"/>
      <c r="I6" s="83"/>
      <c r="J6" s="83"/>
      <c r="K6" s="83"/>
      <c r="L6" s="83"/>
      <c r="M6" s="83"/>
      <c r="N6" s="82"/>
      <c r="Q6" s="37">
        <v>0.95</v>
      </c>
      <c r="R6" s="36">
        <v>0.99</v>
      </c>
    </row>
    <row r="7" spans="2:26" ht="12.75">
      <c r="B7" s="16" t="s">
        <v>8</v>
      </c>
      <c r="C7" s="20">
        <v>1.6</v>
      </c>
      <c r="D7" s="53">
        <v>1</v>
      </c>
      <c r="E7" s="54">
        <v>1.1</v>
      </c>
      <c r="F7" s="54">
        <v>1.2</v>
      </c>
      <c r="G7" s="54">
        <v>1.3</v>
      </c>
      <c r="H7" s="54">
        <v>1.4</v>
      </c>
      <c r="I7" s="54">
        <v>1.5</v>
      </c>
      <c r="J7" s="54">
        <v>1.6</v>
      </c>
      <c r="K7" s="54">
        <v>1.7</v>
      </c>
      <c r="L7" s="54">
        <v>1.8</v>
      </c>
      <c r="M7" s="54">
        <v>1.9</v>
      </c>
      <c r="N7" s="54">
        <v>2</v>
      </c>
      <c r="Q7" s="49">
        <f>Data!G7</f>
        <v>1.9649791814756747</v>
      </c>
      <c r="R7" s="35">
        <f>Data!G8</f>
        <v>2.176473005528454</v>
      </c>
      <c r="Z7" s="7"/>
    </row>
    <row r="8" spans="2:18" ht="12.75">
      <c r="B8" s="16" t="s">
        <v>9</v>
      </c>
      <c r="C8" s="31">
        <f>Sales_in_USD/C7</f>
        <v>5000</v>
      </c>
      <c r="D8" s="31">
        <f aca="true" t="shared" si="0" ref="D8:N8">Sales_in_USD/D7</f>
        <v>8000</v>
      </c>
      <c r="E8" s="31">
        <f t="shared" si="0"/>
        <v>7272.727272727272</v>
      </c>
      <c r="F8" s="31">
        <f t="shared" si="0"/>
        <v>6666.666666666667</v>
      </c>
      <c r="G8" s="31">
        <f t="shared" si="0"/>
        <v>6153.846153846153</v>
      </c>
      <c r="H8" s="31">
        <f t="shared" si="0"/>
        <v>5714.285714285715</v>
      </c>
      <c r="I8" s="31">
        <f t="shared" si="0"/>
        <v>5333.333333333333</v>
      </c>
      <c r="J8" s="31">
        <f t="shared" si="0"/>
        <v>5000</v>
      </c>
      <c r="K8" s="31">
        <f t="shared" si="0"/>
        <v>4705.882352941177</v>
      </c>
      <c r="L8" s="31">
        <f t="shared" si="0"/>
        <v>4444.444444444444</v>
      </c>
      <c r="M8" s="31">
        <f t="shared" si="0"/>
        <v>4210.526315789474</v>
      </c>
      <c r="N8" s="31">
        <f t="shared" si="0"/>
        <v>4000</v>
      </c>
      <c r="Q8" s="45">
        <f>Sales_in_USD/Q7</f>
        <v>4071.2899533073423</v>
      </c>
      <c r="R8" s="45">
        <f>Sales_in_USD/R7</f>
        <v>3675.6715932976053</v>
      </c>
    </row>
    <row r="9" spans="2:18" ht="12.75">
      <c r="B9" s="16" t="s">
        <v>10</v>
      </c>
      <c r="C9" s="20">
        <f>Costs</f>
        <v>3000</v>
      </c>
      <c r="D9" s="20">
        <f aca="true" t="shared" si="1" ref="D9:N9">Costs</f>
        <v>3000</v>
      </c>
      <c r="E9" s="20">
        <f t="shared" si="1"/>
        <v>3000</v>
      </c>
      <c r="F9" s="20">
        <f t="shared" si="1"/>
        <v>3000</v>
      </c>
      <c r="G9" s="20">
        <f t="shared" si="1"/>
        <v>3000</v>
      </c>
      <c r="H9" s="20">
        <f t="shared" si="1"/>
        <v>3000</v>
      </c>
      <c r="I9" s="20">
        <f t="shared" si="1"/>
        <v>3000</v>
      </c>
      <c r="J9" s="20">
        <f t="shared" si="1"/>
        <v>3000</v>
      </c>
      <c r="K9" s="20">
        <f t="shared" si="1"/>
        <v>3000</v>
      </c>
      <c r="L9" s="20">
        <f t="shared" si="1"/>
        <v>3000</v>
      </c>
      <c r="M9" s="20">
        <f t="shared" si="1"/>
        <v>3000</v>
      </c>
      <c r="N9" s="20">
        <f t="shared" si="1"/>
        <v>3000</v>
      </c>
      <c r="Q9" s="56">
        <f>Costs</f>
        <v>3000</v>
      </c>
      <c r="R9" s="56">
        <f>Costs</f>
        <v>3000</v>
      </c>
    </row>
    <row r="10" spans="2:18" ht="12.75">
      <c r="B10" s="16" t="s">
        <v>11</v>
      </c>
      <c r="C10" s="31">
        <f>C8-C9</f>
        <v>2000</v>
      </c>
      <c r="D10" s="31">
        <f aca="true" t="shared" si="2" ref="D10:N10">D8-D9</f>
        <v>5000</v>
      </c>
      <c r="E10" s="31">
        <f t="shared" si="2"/>
        <v>4272.727272727272</v>
      </c>
      <c r="F10" s="31">
        <f t="shared" si="2"/>
        <v>3666.666666666667</v>
      </c>
      <c r="G10" s="31">
        <f t="shared" si="2"/>
        <v>3153.8461538461534</v>
      </c>
      <c r="H10" s="31">
        <f t="shared" si="2"/>
        <v>2714.2857142857147</v>
      </c>
      <c r="I10" s="31">
        <f t="shared" si="2"/>
        <v>2333.333333333333</v>
      </c>
      <c r="J10" s="31">
        <f t="shared" si="2"/>
        <v>2000</v>
      </c>
      <c r="K10" s="31">
        <f t="shared" si="2"/>
        <v>1705.8823529411766</v>
      </c>
      <c r="L10" s="31">
        <f t="shared" si="2"/>
        <v>1444.4444444444443</v>
      </c>
      <c r="M10" s="31">
        <f t="shared" si="2"/>
        <v>1210.5263157894742</v>
      </c>
      <c r="N10" s="31">
        <f t="shared" si="2"/>
        <v>1000</v>
      </c>
      <c r="Q10" s="45">
        <f>Q8-Q9</f>
        <v>1071.2899533073423</v>
      </c>
      <c r="R10" s="45">
        <f>R8-R9</f>
        <v>675.6715932976053</v>
      </c>
    </row>
    <row r="11" spans="2:18" ht="12.75">
      <c r="B11" s="16" t="s">
        <v>12</v>
      </c>
      <c r="C11" s="31">
        <f>C10*Tax_rate</f>
        <v>400</v>
      </c>
      <c r="D11" s="31">
        <f aca="true" t="shared" si="3" ref="D11:N11">D10*Tax_rate</f>
        <v>1000</v>
      </c>
      <c r="E11" s="31">
        <f t="shared" si="3"/>
        <v>854.5454545454545</v>
      </c>
      <c r="F11" s="31">
        <f t="shared" si="3"/>
        <v>733.3333333333335</v>
      </c>
      <c r="G11" s="31">
        <f t="shared" si="3"/>
        <v>630.7692307692307</v>
      </c>
      <c r="H11" s="31">
        <f t="shared" si="3"/>
        <v>542.857142857143</v>
      </c>
      <c r="I11" s="31">
        <f t="shared" si="3"/>
        <v>466.66666666666663</v>
      </c>
      <c r="J11" s="31">
        <f t="shared" si="3"/>
        <v>400</v>
      </c>
      <c r="K11" s="31">
        <f t="shared" si="3"/>
        <v>341.17647058823536</v>
      </c>
      <c r="L11" s="31">
        <f t="shared" si="3"/>
        <v>288.88888888888886</v>
      </c>
      <c r="M11" s="31">
        <f t="shared" si="3"/>
        <v>242.10526315789485</v>
      </c>
      <c r="N11" s="31">
        <f t="shared" si="3"/>
        <v>200</v>
      </c>
      <c r="Q11" s="45">
        <f>Q10*Tax_rate</f>
        <v>214.25799066146848</v>
      </c>
      <c r="R11" s="45">
        <f>R10*Tax_rate</f>
        <v>135.13431865952109</v>
      </c>
    </row>
    <row r="12" spans="2:18" ht="12.75">
      <c r="B12" s="16" t="s">
        <v>13</v>
      </c>
      <c r="C12" s="31">
        <f>C10-C11</f>
        <v>1600</v>
      </c>
      <c r="D12" s="31">
        <f aca="true" t="shared" si="4" ref="D12:N12">D10-D11</f>
        <v>4000</v>
      </c>
      <c r="E12" s="31">
        <f t="shared" si="4"/>
        <v>3418.1818181818176</v>
      </c>
      <c r="F12" s="31">
        <f t="shared" si="4"/>
        <v>2933.3333333333335</v>
      </c>
      <c r="G12" s="31">
        <f t="shared" si="4"/>
        <v>2523.076923076923</v>
      </c>
      <c r="H12" s="31">
        <f t="shared" si="4"/>
        <v>2171.4285714285716</v>
      </c>
      <c r="I12" s="31">
        <f t="shared" si="4"/>
        <v>1866.6666666666665</v>
      </c>
      <c r="J12" s="31">
        <f t="shared" si="4"/>
        <v>1600</v>
      </c>
      <c r="K12" s="31">
        <f t="shared" si="4"/>
        <v>1364.7058823529412</v>
      </c>
      <c r="L12" s="31">
        <f t="shared" si="4"/>
        <v>1155.5555555555554</v>
      </c>
      <c r="M12" s="31">
        <f t="shared" si="4"/>
        <v>968.4210526315794</v>
      </c>
      <c r="N12" s="31">
        <f t="shared" si="4"/>
        <v>800</v>
      </c>
      <c r="Q12" s="45">
        <f>Q10-Q11</f>
        <v>857.0319626458738</v>
      </c>
      <c r="R12" s="45">
        <f>R10-R11</f>
        <v>540.5372746380842</v>
      </c>
    </row>
    <row r="13" spans="2:18" ht="12.75">
      <c r="B13" s="16" t="s">
        <v>14</v>
      </c>
      <c r="C13" s="20">
        <f>Dividend</f>
        <v>1250</v>
      </c>
      <c r="D13" s="20">
        <f aca="true" t="shared" si="5" ref="D13:N13">Dividend</f>
        <v>1250</v>
      </c>
      <c r="E13" s="20">
        <f t="shared" si="5"/>
        <v>1250</v>
      </c>
      <c r="F13" s="20">
        <f t="shared" si="5"/>
        <v>1250</v>
      </c>
      <c r="G13" s="20">
        <f t="shared" si="5"/>
        <v>1250</v>
      </c>
      <c r="H13" s="20">
        <f t="shared" si="5"/>
        <v>1250</v>
      </c>
      <c r="I13" s="20">
        <f t="shared" si="5"/>
        <v>1250</v>
      </c>
      <c r="J13" s="20">
        <f t="shared" si="5"/>
        <v>1250</v>
      </c>
      <c r="K13" s="20">
        <f t="shared" si="5"/>
        <v>1250</v>
      </c>
      <c r="L13" s="20">
        <f t="shared" si="5"/>
        <v>1250</v>
      </c>
      <c r="M13" s="20">
        <f t="shared" si="5"/>
        <v>1250</v>
      </c>
      <c r="N13" s="20">
        <f t="shared" si="5"/>
        <v>1250</v>
      </c>
      <c r="Q13" s="56">
        <f>Dividend</f>
        <v>1250</v>
      </c>
      <c r="R13" s="56">
        <f>Dividend</f>
        <v>1250</v>
      </c>
    </row>
    <row r="14" spans="2:18" ht="12.75">
      <c r="B14" s="18" t="s">
        <v>22</v>
      </c>
      <c r="C14" s="28">
        <f>C12-C13</f>
        <v>350</v>
      </c>
      <c r="D14" s="28">
        <f aca="true" t="shared" si="6" ref="D14:N14">D12-D13</f>
        <v>2750</v>
      </c>
      <c r="E14" s="28">
        <f t="shared" si="6"/>
        <v>2168.1818181818176</v>
      </c>
      <c r="F14" s="28">
        <f t="shared" si="6"/>
        <v>1683.3333333333335</v>
      </c>
      <c r="G14" s="28">
        <f t="shared" si="6"/>
        <v>1273.0769230769229</v>
      </c>
      <c r="H14" s="28">
        <f t="shared" si="6"/>
        <v>921.4285714285716</v>
      </c>
      <c r="I14" s="28">
        <f t="shared" si="6"/>
        <v>616.6666666666665</v>
      </c>
      <c r="J14" s="28">
        <f t="shared" si="6"/>
        <v>350</v>
      </c>
      <c r="K14" s="28">
        <f t="shared" si="6"/>
        <v>114.70588235294122</v>
      </c>
      <c r="L14" s="28">
        <f t="shared" si="6"/>
        <v>-94.44444444444457</v>
      </c>
      <c r="M14" s="28">
        <f t="shared" si="6"/>
        <v>-281.5789473684206</v>
      </c>
      <c r="N14" s="28">
        <f t="shared" si="6"/>
        <v>-450</v>
      </c>
      <c r="Q14" s="38">
        <f>Q12-Q13</f>
        <v>-392.9680373541262</v>
      </c>
      <c r="R14" s="57">
        <f>R12-R13</f>
        <v>-709.4627253619158</v>
      </c>
    </row>
    <row r="15" spans="16:18" ht="12.75">
      <c r="P15" s="40" t="s">
        <v>23</v>
      </c>
      <c r="Q15" s="51">
        <f>-Q14</f>
        <v>392.9680373541262</v>
      </c>
      <c r="R15" s="52">
        <f>-R14</f>
        <v>709.4627253619158</v>
      </c>
    </row>
    <row r="16" ht="12.75">
      <c r="B16" s="14" t="s">
        <v>2</v>
      </c>
    </row>
    <row r="17" ht="12.75">
      <c r="B17" s="9" t="s">
        <v>3</v>
      </c>
    </row>
    <row r="18" ht="12.75">
      <c r="B18" s="10" t="s">
        <v>4</v>
      </c>
    </row>
  </sheetData>
  <mergeCells count="3">
    <mergeCell ref="B5:C5"/>
    <mergeCell ref="Q5:R5"/>
    <mergeCell ref="D6:N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Z1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7.00390625" style="1" customWidth="1"/>
    <col min="3" max="3" width="8.421875" style="1" customWidth="1"/>
    <col min="4" max="14" width="5.140625" style="1" customWidth="1"/>
    <col min="15" max="22" width="6.7109375" style="1" customWidth="1"/>
    <col min="23" max="26" width="7.7109375" style="1" customWidth="1"/>
    <col min="27" max="16384" width="9.140625" style="1" customWidth="1"/>
  </cols>
  <sheetData>
    <row r="1" s="75" customFormat="1" ht="12.75">
      <c r="B1" s="75" t="s">
        <v>1</v>
      </c>
    </row>
    <row r="2" s="75" customFormat="1" ht="12.75">
      <c r="B2" s="75" t="s">
        <v>5</v>
      </c>
    </row>
    <row r="3" s="8" customFormat="1" ht="12.75">
      <c r="B3" s="8" t="s">
        <v>6</v>
      </c>
    </row>
    <row r="4" s="11" customFormat="1" ht="12.75"/>
    <row r="5" spans="2:18" ht="12.75">
      <c r="B5" s="81" t="s">
        <v>21</v>
      </c>
      <c r="C5" s="82"/>
      <c r="Q5" s="81" t="s">
        <v>24</v>
      </c>
      <c r="R5" s="82"/>
    </row>
    <row r="6" spans="2:18" ht="12.75">
      <c r="B6" s="15" t="s">
        <v>7</v>
      </c>
      <c r="C6" s="19">
        <f>Sales_in_USD</f>
        <v>8000</v>
      </c>
      <c r="D6" s="81" t="s">
        <v>29</v>
      </c>
      <c r="E6" s="83"/>
      <c r="F6" s="83"/>
      <c r="G6" s="83"/>
      <c r="H6" s="83"/>
      <c r="I6" s="83"/>
      <c r="J6" s="83"/>
      <c r="K6" s="83"/>
      <c r="L6" s="83"/>
      <c r="M6" s="83"/>
      <c r="N6" s="82"/>
      <c r="Q6" s="37">
        <v>0.95</v>
      </c>
      <c r="R6" s="36">
        <v>0.99</v>
      </c>
    </row>
    <row r="7" spans="2:26" ht="12.75">
      <c r="B7" s="16" t="s">
        <v>8</v>
      </c>
      <c r="C7" s="44">
        <f>forward_rate</f>
        <v>1.5527128536776131</v>
      </c>
      <c r="D7" s="53">
        <v>1</v>
      </c>
      <c r="E7" s="54">
        <v>1.1</v>
      </c>
      <c r="F7" s="54">
        <v>1.2</v>
      </c>
      <c r="G7" s="54">
        <v>1.3</v>
      </c>
      <c r="H7" s="54">
        <v>1.4</v>
      </c>
      <c r="I7" s="54">
        <v>1.5</v>
      </c>
      <c r="J7" s="54">
        <v>1.6</v>
      </c>
      <c r="K7" s="54">
        <v>1.7</v>
      </c>
      <c r="L7" s="54">
        <v>1.8</v>
      </c>
      <c r="M7" s="54">
        <v>1.9</v>
      </c>
      <c r="N7" s="54">
        <v>2</v>
      </c>
      <c r="Q7" s="38">
        <f>Data!G7</f>
        <v>1.9649791814756747</v>
      </c>
      <c r="R7" s="35">
        <f>Data!G8</f>
        <v>2.176473005528454</v>
      </c>
      <c r="Z7" s="7"/>
    </row>
    <row r="8" spans="2:14" ht="12.75">
      <c r="B8" s="16" t="s">
        <v>9</v>
      </c>
      <c r="C8" s="45">
        <f>C6/C7</f>
        <v>5152.272669767584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2.75">
      <c r="B9" s="16" t="s">
        <v>10</v>
      </c>
      <c r="C9" s="20">
        <f>Costs</f>
        <v>3000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2.75">
      <c r="B10" s="16" t="s">
        <v>11</v>
      </c>
      <c r="C10" s="45">
        <f>C8-C9</f>
        <v>2152.2726697675844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2.75">
      <c r="B11" s="16" t="s">
        <v>12</v>
      </c>
      <c r="C11" s="45">
        <f>C10*Tax_rate</f>
        <v>430.4545339535169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2.75">
      <c r="B12" s="16" t="s">
        <v>13</v>
      </c>
      <c r="C12" s="45">
        <f>C10-C11</f>
        <v>1721.8181358140675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.75">
      <c r="B13" s="16" t="s">
        <v>14</v>
      </c>
      <c r="C13" s="20">
        <f>Dividend</f>
        <v>1250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8" ht="12.75">
      <c r="B14" s="18" t="s">
        <v>22</v>
      </c>
      <c r="C14" s="46">
        <f>C12-C13</f>
        <v>471.81813581406755</v>
      </c>
      <c r="D14" s="55">
        <f aca="true" t="shared" si="0" ref="D14:N14">(Sales_in_USD/forward_rate-Costs)*(1-Tax_rate)-Dividend</f>
        <v>471.81813581406755</v>
      </c>
      <c r="E14" s="55">
        <f t="shared" si="0"/>
        <v>471.81813581406755</v>
      </c>
      <c r="F14" s="55">
        <f t="shared" si="0"/>
        <v>471.81813581406755</v>
      </c>
      <c r="G14" s="55">
        <f t="shared" si="0"/>
        <v>471.81813581406755</v>
      </c>
      <c r="H14" s="55">
        <f t="shared" si="0"/>
        <v>471.81813581406755</v>
      </c>
      <c r="I14" s="55">
        <f t="shared" si="0"/>
        <v>471.81813581406755</v>
      </c>
      <c r="J14" s="55">
        <f t="shared" si="0"/>
        <v>471.81813581406755</v>
      </c>
      <c r="K14" s="55">
        <f t="shared" si="0"/>
        <v>471.81813581406755</v>
      </c>
      <c r="L14" s="55">
        <f t="shared" si="0"/>
        <v>471.81813581406755</v>
      </c>
      <c r="M14" s="55">
        <f t="shared" si="0"/>
        <v>471.81813581406755</v>
      </c>
      <c r="N14" s="55">
        <f t="shared" si="0"/>
        <v>471.81813581406755</v>
      </c>
      <c r="Q14" s="50">
        <f>M14</f>
        <v>471.81813581406755</v>
      </c>
      <c r="R14" s="50">
        <f>N14</f>
        <v>471.81813581406755</v>
      </c>
    </row>
    <row r="15" spans="16:18" ht="12.75">
      <c r="P15" s="40" t="s">
        <v>23</v>
      </c>
      <c r="Q15" s="51">
        <f>-Q14</f>
        <v>-471.81813581406755</v>
      </c>
      <c r="R15" s="52">
        <f>-R14</f>
        <v>-471.81813581406755</v>
      </c>
    </row>
    <row r="16" ht="12.75">
      <c r="B16" s="14" t="s">
        <v>2</v>
      </c>
    </row>
    <row r="17" ht="12.75">
      <c r="B17" s="9" t="s">
        <v>3</v>
      </c>
    </row>
    <row r="18" ht="12.75">
      <c r="B18" s="10" t="s">
        <v>4</v>
      </c>
    </row>
  </sheetData>
  <mergeCells count="3">
    <mergeCell ref="B5:C5"/>
    <mergeCell ref="Q5:R5"/>
    <mergeCell ref="D6:N6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Z2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7.00390625" style="1" customWidth="1"/>
    <col min="3" max="3" width="8.421875" style="1" customWidth="1"/>
    <col min="4" max="14" width="5.140625" style="1" customWidth="1"/>
    <col min="15" max="15" width="6.7109375" style="1" customWidth="1"/>
    <col min="16" max="16" width="4.57421875" style="1" bestFit="1" customWidth="1"/>
    <col min="17" max="22" width="6.7109375" style="1" customWidth="1"/>
    <col min="23" max="26" width="7.7109375" style="1" customWidth="1"/>
    <col min="27" max="16384" width="9.140625" style="1" customWidth="1"/>
  </cols>
  <sheetData>
    <row r="1" s="75" customFormat="1" ht="12.75">
      <c r="B1" s="75" t="s">
        <v>1</v>
      </c>
    </row>
    <row r="2" s="75" customFormat="1" ht="12.75">
      <c r="B2" s="75" t="s">
        <v>5</v>
      </c>
    </row>
    <row r="3" s="8" customFormat="1" ht="12.75">
      <c r="B3" s="8" t="s">
        <v>6</v>
      </c>
    </row>
    <row r="4" s="11" customFormat="1" ht="12.75">
      <c r="C4" s="11">
        <v>16</v>
      </c>
    </row>
    <row r="5" spans="2:18" ht="12.75">
      <c r="B5" s="81" t="s">
        <v>21</v>
      </c>
      <c r="C5" s="82"/>
      <c r="Q5" s="81" t="s">
        <v>24</v>
      </c>
      <c r="R5" s="82"/>
    </row>
    <row r="6" spans="2:18" ht="13.5" thickBot="1">
      <c r="B6" s="15" t="s">
        <v>7</v>
      </c>
      <c r="C6" s="19">
        <f>Sales_in_USD</f>
        <v>8000</v>
      </c>
      <c r="D6" s="81" t="s">
        <v>29</v>
      </c>
      <c r="E6" s="83"/>
      <c r="F6" s="83"/>
      <c r="G6" s="83"/>
      <c r="H6" s="83"/>
      <c r="I6" s="83"/>
      <c r="J6" s="83"/>
      <c r="K6" s="83"/>
      <c r="L6" s="83"/>
      <c r="M6" s="83"/>
      <c r="N6" s="82"/>
      <c r="Q6" s="37">
        <v>0.95</v>
      </c>
      <c r="R6" s="36">
        <v>0.99</v>
      </c>
    </row>
    <row r="7" spans="2:26" ht="13.5" thickBot="1">
      <c r="B7" s="16" t="s">
        <v>37</v>
      </c>
      <c r="C7" s="71">
        <f>C4/10</f>
        <v>1.6</v>
      </c>
      <c r="D7" s="53">
        <v>1</v>
      </c>
      <c r="E7" s="54">
        <v>1.1</v>
      </c>
      <c r="F7" s="54">
        <v>1.2</v>
      </c>
      <c r="G7" s="54">
        <v>1.3</v>
      </c>
      <c r="H7" s="54">
        <v>1.4</v>
      </c>
      <c r="I7" s="54">
        <v>1.5</v>
      </c>
      <c r="J7" s="54">
        <v>1.6</v>
      </c>
      <c r="K7" s="54">
        <v>1.7</v>
      </c>
      <c r="L7" s="54">
        <v>1.8</v>
      </c>
      <c r="M7" s="54">
        <v>1.9</v>
      </c>
      <c r="N7" s="54">
        <v>2</v>
      </c>
      <c r="Q7" s="49">
        <f>Data!G7</f>
        <v>1.9649791814756747</v>
      </c>
      <c r="R7" s="35">
        <f>Data!G8</f>
        <v>2.176473005528454</v>
      </c>
      <c r="Z7" s="7"/>
    </row>
    <row r="8" spans="2:26" ht="12.75">
      <c r="B8" s="3" t="s">
        <v>34</v>
      </c>
      <c r="C8" s="59">
        <f>(LN(rate_0*EXP(-r_GBP*time)/Exercise_rate)+(r_USD+0.5*sigma_rate^2)*time)/(sigma_rate*(time^0.5))</f>
        <v>-0.12500000000000022</v>
      </c>
      <c r="D8" s="2"/>
      <c r="E8" s="2"/>
      <c r="F8" s="2"/>
      <c r="G8" s="2"/>
      <c r="H8" s="2"/>
      <c r="I8" s="2"/>
      <c r="J8" s="2"/>
      <c r="K8" s="2"/>
      <c r="L8" s="2"/>
      <c r="M8" s="2"/>
      <c r="Z8" s="7"/>
    </row>
    <row r="9" spans="2:26" ht="12.75">
      <c r="B9" s="4" t="s">
        <v>35</v>
      </c>
      <c r="C9" s="59">
        <f>(LN(rate_0*EXP(-r_GBP*time)/Exercise_rate)+(r_USD-0.5*sigma_rate^2)*time)/(sigma_rate*(time^0.5))</f>
        <v>-0.2750000000000002</v>
      </c>
      <c r="D9" s="2"/>
      <c r="E9" s="2"/>
      <c r="F9" s="2"/>
      <c r="G9" s="2"/>
      <c r="H9" s="2"/>
      <c r="I9" s="2"/>
      <c r="J9" s="2"/>
      <c r="K9" s="2"/>
      <c r="L9" s="2"/>
      <c r="M9" s="2"/>
      <c r="Z9" s="7"/>
    </row>
    <row r="10" spans="2:26" ht="12.75">
      <c r="B10" s="4" t="s">
        <v>33</v>
      </c>
      <c r="C10" s="59">
        <f>rate_0*EXP(-r_GBP*time)*NORMSDIST(C8)-Exercise_rate*EXP(-r_USD*time)*NORMSDIST(C9)</f>
        <v>0.06690202252680721</v>
      </c>
      <c r="D10" s="2"/>
      <c r="E10" s="2"/>
      <c r="F10" s="2"/>
      <c r="G10" s="2"/>
      <c r="H10" s="2"/>
      <c r="I10" s="2"/>
      <c r="J10" s="2"/>
      <c r="K10" s="2"/>
      <c r="L10" s="2"/>
      <c r="M10" s="2"/>
      <c r="Z10" s="7"/>
    </row>
    <row r="11" spans="2:26" ht="12.75">
      <c r="B11" s="4" t="s">
        <v>38</v>
      </c>
      <c r="C11" s="64">
        <f>C6/Exercise_rate</f>
        <v>5000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Z11" s="7"/>
    </row>
    <row r="12" spans="2:26" ht="12.75">
      <c r="B12" s="4" t="s">
        <v>36</v>
      </c>
      <c r="C12" s="64">
        <f>C11*C10/rate_0</f>
        <v>209.06882039627254</v>
      </c>
      <c r="D12" s="2"/>
      <c r="E12" s="2"/>
      <c r="F12" s="2"/>
      <c r="G12" s="2"/>
      <c r="H12" s="2"/>
      <c r="I12" s="2"/>
      <c r="J12" s="2"/>
      <c r="K12" s="2"/>
      <c r="L12" s="2"/>
      <c r="M12" s="2"/>
      <c r="Z12" s="7"/>
    </row>
    <row r="13" spans="2:18" ht="12.75">
      <c r="B13" s="15" t="s">
        <v>9</v>
      </c>
      <c r="C13" s="77"/>
      <c r="D13" s="66">
        <f aca="true" t="shared" si="0" ref="D13:N13">Sales_in_USD/MIN(Exercise_rate,D7)</f>
        <v>8000</v>
      </c>
      <c r="E13" s="39">
        <f t="shared" si="0"/>
        <v>7272.727272727272</v>
      </c>
      <c r="F13" s="39">
        <f t="shared" si="0"/>
        <v>6666.666666666667</v>
      </c>
      <c r="G13" s="39">
        <f t="shared" si="0"/>
        <v>6153.846153846153</v>
      </c>
      <c r="H13" s="39">
        <f t="shared" si="0"/>
        <v>5714.285714285715</v>
      </c>
      <c r="I13" s="39">
        <f t="shared" si="0"/>
        <v>5333.333333333333</v>
      </c>
      <c r="J13" s="39">
        <f t="shared" si="0"/>
        <v>5000</v>
      </c>
      <c r="K13" s="39">
        <f t="shared" si="0"/>
        <v>5000</v>
      </c>
      <c r="L13" s="39">
        <f t="shared" si="0"/>
        <v>5000</v>
      </c>
      <c r="M13" s="39">
        <f t="shared" si="0"/>
        <v>5000</v>
      </c>
      <c r="N13" s="39">
        <f t="shared" si="0"/>
        <v>5000</v>
      </c>
      <c r="Q13" s="39">
        <f>Sales_in_USD/MIN(Exercise_rate,Q7)</f>
        <v>5000</v>
      </c>
      <c r="R13" s="39">
        <f>Sales_in_USD/MIN(Exercise_rate,R7)</f>
        <v>5000</v>
      </c>
    </row>
    <row r="14" spans="2:18" ht="12.75">
      <c r="B14" s="16" t="s">
        <v>10</v>
      </c>
      <c r="C14" s="78"/>
      <c r="D14" s="17">
        <f>Costs</f>
        <v>3000</v>
      </c>
      <c r="E14" s="20">
        <f aca="true" t="shared" si="1" ref="E14:N14">Costs</f>
        <v>3000</v>
      </c>
      <c r="F14" s="20">
        <f t="shared" si="1"/>
        <v>3000</v>
      </c>
      <c r="G14" s="20">
        <f t="shared" si="1"/>
        <v>3000</v>
      </c>
      <c r="H14" s="20">
        <f t="shared" si="1"/>
        <v>3000</v>
      </c>
      <c r="I14" s="20">
        <f t="shared" si="1"/>
        <v>3000</v>
      </c>
      <c r="J14" s="20">
        <f t="shared" si="1"/>
        <v>3000</v>
      </c>
      <c r="K14" s="20">
        <f t="shared" si="1"/>
        <v>3000</v>
      </c>
      <c r="L14" s="20">
        <f t="shared" si="1"/>
        <v>3000</v>
      </c>
      <c r="M14" s="20">
        <f t="shared" si="1"/>
        <v>3000</v>
      </c>
      <c r="N14" s="20">
        <f t="shared" si="1"/>
        <v>3000</v>
      </c>
      <c r="Q14" s="20">
        <f>Costs</f>
        <v>3000</v>
      </c>
      <c r="R14" s="20">
        <f>Costs</f>
        <v>3000</v>
      </c>
    </row>
    <row r="15" spans="2:18" ht="12.75">
      <c r="B15" s="16" t="s">
        <v>11</v>
      </c>
      <c r="C15" s="79"/>
      <c r="D15" s="67">
        <f>D13-D14</f>
        <v>5000</v>
      </c>
      <c r="E15" s="31">
        <f aca="true" t="shared" si="2" ref="E15:N15">E13-E14</f>
        <v>4272.727272727272</v>
      </c>
      <c r="F15" s="31">
        <f t="shared" si="2"/>
        <v>3666.666666666667</v>
      </c>
      <c r="G15" s="31">
        <f t="shared" si="2"/>
        <v>3153.8461538461534</v>
      </c>
      <c r="H15" s="31">
        <f t="shared" si="2"/>
        <v>2714.2857142857147</v>
      </c>
      <c r="I15" s="31">
        <f t="shared" si="2"/>
        <v>2333.333333333333</v>
      </c>
      <c r="J15" s="31">
        <f t="shared" si="2"/>
        <v>2000</v>
      </c>
      <c r="K15" s="31">
        <f t="shared" si="2"/>
        <v>2000</v>
      </c>
      <c r="L15" s="31">
        <f t="shared" si="2"/>
        <v>2000</v>
      </c>
      <c r="M15" s="31">
        <f t="shared" si="2"/>
        <v>2000</v>
      </c>
      <c r="N15" s="31">
        <f t="shared" si="2"/>
        <v>2000</v>
      </c>
      <c r="Q15" s="31">
        <f>Q13-Q14</f>
        <v>2000</v>
      </c>
      <c r="R15" s="31">
        <f>R13-R14</f>
        <v>2000</v>
      </c>
    </row>
    <row r="16" spans="2:18" ht="12.75">
      <c r="B16" s="16" t="s">
        <v>31</v>
      </c>
      <c r="C16" s="79"/>
      <c r="D16" s="76">
        <f aca="true" t="shared" si="3" ref="D16:N16">r_loan*$C$12</f>
        <v>33.45101126340361</v>
      </c>
      <c r="E16" s="61">
        <f t="shared" si="3"/>
        <v>33.45101126340361</v>
      </c>
      <c r="F16" s="61">
        <f t="shared" si="3"/>
        <v>33.45101126340361</v>
      </c>
      <c r="G16" s="61">
        <f t="shared" si="3"/>
        <v>33.45101126340361</v>
      </c>
      <c r="H16" s="61">
        <f t="shared" si="3"/>
        <v>33.45101126340361</v>
      </c>
      <c r="I16" s="61">
        <f t="shared" si="3"/>
        <v>33.45101126340361</v>
      </c>
      <c r="J16" s="61">
        <f t="shared" si="3"/>
        <v>33.45101126340361</v>
      </c>
      <c r="K16" s="61">
        <f t="shared" si="3"/>
        <v>33.45101126340361</v>
      </c>
      <c r="L16" s="61">
        <f t="shared" si="3"/>
        <v>33.45101126340361</v>
      </c>
      <c r="M16" s="61">
        <f t="shared" si="3"/>
        <v>33.45101126340361</v>
      </c>
      <c r="N16" s="45">
        <f t="shared" si="3"/>
        <v>33.45101126340361</v>
      </c>
      <c r="Q16" s="45">
        <f>N16</f>
        <v>33.45101126340361</v>
      </c>
      <c r="R16" s="45">
        <f>Q16</f>
        <v>33.45101126340361</v>
      </c>
    </row>
    <row r="17" spans="2:18" ht="12.75">
      <c r="B17" s="16" t="s">
        <v>39</v>
      </c>
      <c r="C17" s="79"/>
      <c r="D17" s="62">
        <f aca="true" t="shared" si="4" ref="D17:N17">D15-D16</f>
        <v>4966.548988736597</v>
      </c>
      <c r="E17" s="45">
        <f t="shared" si="4"/>
        <v>4239.276261463869</v>
      </c>
      <c r="F17" s="45">
        <f t="shared" si="4"/>
        <v>3633.2156554032636</v>
      </c>
      <c r="G17" s="45">
        <f t="shared" si="4"/>
        <v>3120.39514258275</v>
      </c>
      <c r="H17" s="45">
        <f t="shared" si="4"/>
        <v>2680.8347030223113</v>
      </c>
      <c r="I17" s="45">
        <f t="shared" si="4"/>
        <v>2299.8823220699296</v>
      </c>
      <c r="J17" s="45">
        <f t="shared" si="4"/>
        <v>1966.5489887365964</v>
      </c>
      <c r="K17" s="45">
        <f t="shared" si="4"/>
        <v>1966.5489887365964</v>
      </c>
      <c r="L17" s="45">
        <f t="shared" si="4"/>
        <v>1966.5489887365964</v>
      </c>
      <c r="M17" s="45">
        <f t="shared" si="4"/>
        <v>1966.5489887365964</v>
      </c>
      <c r="N17" s="45">
        <f t="shared" si="4"/>
        <v>1966.5489887365964</v>
      </c>
      <c r="Q17" s="45">
        <f>Q15-Q16</f>
        <v>1966.5489887365964</v>
      </c>
      <c r="R17" s="45">
        <f>R15-R16</f>
        <v>1966.5489887365964</v>
      </c>
    </row>
    <row r="18" spans="2:18" ht="12.75">
      <c r="B18" s="16" t="s">
        <v>12</v>
      </c>
      <c r="C18" s="79"/>
      <c r="D18" s="62">
        <f aca="true" t="shared" si="5" ref="D18:N18">D17*Tax_rate</f>
        <v>993.3097977473194</v>
      </c>
      <c r="E18" s="45">
        <f t="shared" si="5"/>
        <v>847.8552522927738</v>
      </c>
      <c r="F18" s="45">
        <f t="shared" si="5"/>
        <v>726.6431310806528</v>
      </c>
      <c r="G18" s="45">
        <f t="shared" si="5"/>
        <v>624.07902851655</v>
      </c>
      <c r="H18" s="45">
        <f t="shared" si="5"/>
        <v>536.1669406044623</v>
      </c>
      <c r="I18" s="45">
        <f t="shared" si="5"/>
        <v>459.9764644139859</v>
      </c>
      <c r="J18" s="45">
        <f t="shared" si="5"/>
        <v>393.3097977473193</v>
      </c>
      <c r="K18" s="45">
        <f t="shared" si="5"/>
        <v>393.3097977473193</v>
      </c>
      <c r="L18" s="45">
        <f t="shared" si="5"/>
        <v>393.3097977473193</v>
      </c>
      <c r="M18" s="45">
        <f t="shared" si="5"/>
        <v>393.3097977473193</v>
      </c>
      <c r="N18" s="45">
        <f t="shared" si="5"/>
        <v>393.3097977473193</v>
      </c>
      <c r="Q18" s="45">
        <f>Q17*Tax_rate</f>
        <v>393.3097977473193</v>
      </c>
      <c r="R18" s="45">
        <f>R17*Tax_rate</f>
        <v>393.3097977473193</v>
      </c>
    </row>
    <row r="19" spans="2:18" ht="12.75">
      <c r="B19" s="16" t="s">
        <v>13</v>
      </c>
      <c r="C19" s="79"/>
      <c r="D19" s="76">
        <f aca="true" t="shared" si="6" ref="D19:N19">D17-D18</f>
        <v>3973.239190989277</v>
      </c>
      <c r="E19" s="61">
        <f t="shared" si="6"/>
        <v>3391.4210091710947</v>
      </c>
      <c r="F19" s="61">
        <f t="shared" si="6"/>
        <v>2906.5725243226107</v>
      </c>
      <c r="G19" s="61">
        <f t="shared" si="6"/>
        <v>2496.3161140662</v>
      </c>
      <c r="H19" s="61">
        <f t="shared" si="6"/>
        <v>2144.667762417849</v>
      </c>
      <c r="I19" s="61">
        <f t="shared" si="6"/>
        <v>1839.9058576559437</v>
      </c>
      <c r="J19" s="61">
        <f t="shared" si="6"/>
        <v>1573.2391909892772</v>
      </c>
      <c r="K19" s="61">
        <f t="shared" si="6"/>
        <v>1573.2391909892772</v>
      </c>
      <c r="L19" s="61">
        <f t="shared" si="6"/>
        <v>1573.2391909892772</v>
      </c>
      <c r="M19" s="61">
        <f t="shared" si="6"/>
        <v>1573.2391909892772</v>
      </c>
      <c r="N19" s="45">
        <f t="shared" si="6"/>
        <v>1573.2391909892772</v>
      </c>
      <c r="Q19" s="61">
        <f>Q17-Q18</f>
        <v>1573.2391909892772</v>
      </c>
      <c r="R19" s="45">
        <f>R17-R18</f>
        <v>1573.2391909892772</v>
      </c>
    </row>
    <row r="20" spans="2:18" ht="12.75">
      <c r="B20" s="16" t="s">
        <v>32</v>
      </c>
      <c r="C20" s="79"/>
      <c r="D20" s="76">
        <f aca="true" t="shared" si="7" ref="D20:N20">$C$12</f>
        <v>209.06882039627254</v>
      </c>
      <c r="E20" s="61">
        <f t="shared" si="7"/>
        <v>209.06882039627254</v>
      </c>
      <c r="F20" s="61">
        <f t="shared" si="7"/>
        <v>209.06882039627254</v>
      </c>
      <c r="G20" s="61">
        <f t="shared" si="7"/>
        <v>209.06882039627254</v>
      </c>
      <c r="H20" s="61">
        <f t="shared" si="7"/>
        <v>209.06882039627254</v>
      </c>
      <c r="I20" s="61">
        <f t="shared" si="7"/>
        <v>209.06882039627254</v>
      </c>
      <c r="J20" s="61">
        <f t="shared" si="7"/>
        <v>209.06882039627254</v>
      </c>
      <c r="K20" s="61">
        <f t="shared" si="7"/>
        <v>209.06882039627254</v>
      </c>
      <c r="L20" s="61">
        <f t="shared" si="7"/>
        <v>209.06882039627254</v>
      </c>
      <c r="M20" s="61">
        <f t="shared" si="7"/>
        <v>209.06882039627254</v>
      </c>
      <c r="N20" s="45">
        <f t="shared" si="7"/>
        <v>209.06882039627254</v>
      </c>
      <c r="Q20" s="61">
        <f>$C$12</f>
        <v>209.06882039627254</v>
      </c>
      <c r="R20" s="45">
        <f>$C$12</f>
        <v>209.06882039627254</v>
      </c>
    </row>
    <row r="21" spans="2:18" ht="12.75">
      <c r="B21" s="16" t="s">
        <v>14</v>
      </c>
      <c r="C21" s="78"/>
      <c r="D21" s="17">
        <f aca="true" t="shared" si="8" ref="D21:N21">Dividend</f>
        <v>1250</v>
      </c>
      <c r="E21" s="20">
        <f t="shared" si="8"/>
        <v>1250</v>
      </c>
      <c r="F21" s="20">
        <f t="shared" si="8"/>
        <v>1250</v>
      </c>
      <c r="G21" s="20">
        <f t="shared" si="8"/>
        <v>1250</v>
      </c>
      <c r="H21" s="20">
        <f t="shared" si="8"/>
        <v>1250</v>
      </c>
      <c r="I21" s="20">
        <f t="shared" si="8"/>
        <v>1250</v>
      </c>
      <c r="J21" s="20">
        <f t="shared" si="8"/>
        <v>1250</v>
      </c>
      <c r="K21" s="20">
        <f t="shared" si="8"/>
        <v>1250</v>
      </c>
      <c r="L21" s="20">
        <f t="shared" si="8"/>
        <v>1250</v>
      </c>
      <c r="M21" s="20">
        <f t="shared" si="8"/>
        <v>1250</v>
      </c>
      <c r="N21" s="20">
        <f t="shared" si="8"/>
        <v>1250</v>
      </c>
      <c r="Q21" s="20">
        <f>Dividend</f>
        <v>1250</v>
      </c>
      <c r="R21" s="20">
        <f>Dividend</f>
        <v>1250</v>
      </c>
    </row>
    <row r="22" spans="2:18" ht="12.75">
      <c r="B22" s="18" t="s">
        <v>22</v>
      </c>
      <c r="C22" s="80"/>
      <c r="D22" s="63">
        <f aca="true" t="shared" si="9" ref="D22:N22">D19-D21-D20</f>
        <v>2514.1703705930045</v>
      </c>
      <c r="E22" s="46">
        <f t="shared" si="9"/>
        <v>1932.3521887748223</v>
      </c>
      <c r="F22" s="46">
        <f t="shared" si="9"/>
        <v>1447.5037039263382</v>
      </c>
      <c r="G22" s="46">
        <f t="shared" si="9"/>
        <v>1037.2472936699276</v>
      </c>
      <c r="H22" s="46">
        <f t="shared" si="9"/>
        <v>685.5989420215767</v>
      </c>
      <c r="I22" s="46">
        <f t="shared" si="9"/>
        <v>380.83703725967115</v>
      </c>
      <c r="J22" s="46">
        <f t="shared" si="9"/>
        <v>114.17037059300463</v>
      </c>
      <c r="K22" s="46">
        <f t="shared" si="9"/>
        <v>114.17037059300463</v>
      </c>
      <c r="L22" s="46">
        <f t="shared" si="9"/>
        <v>114.17037059300463</v>
      </c>
      <c r="M22" s="46">
        <f t="shared" si="9"/>
        <v>114.17037059300463</v>
      </c>
      <c r="N22" s="46">
        <f t="shared" si="9"/>
        <v>114.17037059300463</v>
      </c>
      <c r="Q22" s="57">
        <f>Q19-Q21-Q20</f>
        <v>114.17037059300463</v>
      </c>
      <c r="R22" s="57">
        <f>R19-R21-R20</f>
        <v>114.17037059300463</v>
      </c>
    </row>
    <row r="23" spans="16:18" ht="12.75">
      <c r="P23" s="40" t="s">
        <v>23</v>
      </c>
      <c r="Q23" s="51">
        <f>-Q22</f>
        <v>-114.17037059300463</v>
      </c>
      <c r="R23" s="51">
        <f>-R22</f>
        <v>-114.17037059300463</v>
      </c>
    </row>
    <row r="24" ht="12.75">
      <c r="B24" s="14" t="s">
        <v>2</v>
      </c>
    </row>
    <row r="25" ht="12.75">
      <c r="B25" s="9" t="s">
        <v>3</v>
      </c>
    </row>
    <row r="26" ht="12.75">
      <c r="B26" s="10" t="s">
        <v>4</v>
      </c>
    </row>
    <row r="27" ht="12.75">
      <c r="B27" s="12" t="s">
        <v>40</v>
      </c>
    </row>
    <row r="44" ht="12.75"/>
  </sheetData>
  <mergeCells count="3">
    <mergeCell ref="B5:C5"/>
    <mergeCell ref="Q5:R5"/>
    <mergeCell ref="D6:N6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Word.Document.8" shapeId="283741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B1:Z2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7.00390625" style="1" customWidth="1"/>
    <col min="3" max="3" width="8.421875" style="1" customWidth="1"/>
    <col min="4" max="4" width="5.00390625" style="1" bestFit="1" customWidth="1"/>
    <col min="5" max="14" width="5.140625" style="1" customWidth="1"/>
    <col min="15" max="15" width="6.7109375" style="1" customWidth="1"/>
    <col min="16" max="16" width="4.57421875" style="1" bestFit="1" customWidth="1"/>
    <col min="17" max="22" width="6.7109375" style="1" customWidth="1"/>
    <col min="23" max="26" width="7.7109375" style="1" customWidth="1"/>
    <col min="27" max="16384" width="9.140625" style="1" customWidth="1"/>
  </cols>
  <sheetData>
    <row r="1" s="75" customFormat="1" ht="12.75">
      <c r="B1" s="75" t="s">
        <v>1</v>
      </c>
    </row>
    <row r="2" s="75" customFormat="1" ht="12.75">
      <c r="B2" s="75" t="s">
        <v>5</v>
      </c>
    </row>
    <row r="3" s="8" customFormat="1" ht="12.75">
      <c r="B3" s="8" t="s">
        <v>6</v>
      </c>
    </row>
    <row r="4" s="11" customFormat="1" ht="12.75">
      <c r="C4" s="11">
        <v>15</v>
      </c>
    </row>
    <row r="5" spans="2:18" ht="12.75">
      <c r="B5" s="81" t="s">
        <v>21</v>
      </c>
      <c r="C5" s="82"/>
      <c r="Q5" s="81" t="s">
        <v>24</v>
      </c>
      <c r="R5" s="82"/>
    </row>
    <row r="6" spans="2:18" ht="13.5" thickBot="1">
      <c r="B6" s="27" t="s">
        <v>7</v>
      </c>
      <c r="C6" s="19">
        <f>Sales_in_USD</f>
        <v>8000</v>
      </c>
      <c r="D6" s="83" t="s">
        <v>29</v>
      </c>
      <c r="E6" s="83"/>
      <c r="F6" s="83"/>
      <c r="G6" s="83"/>
      <c r="H6" s="83"/>
      <c r="I6" s="83"/>
      <c r="J6" s="83"/>
      <c r="K6" s="83"/>
      <c r="L6" s="83"/>
      <c r="M6" s="83"/>
      <c r="N6" s="82"/>
      <c r="Q6" s="37">
        <v>0.95</v>
      </c>
      <c r="R6" s="36">
        <v>0.99</v>
      </c>
    </row>
    <row r="7" spans="2:26" ht="13.5" thickBot="1">
      <c r="B7" s="16" t="s">
        <v>37</v>
      </c>
      <c r="C7" s="71">
        <v>1.6</v>
      </c>
      <c r="D7" s="53">
        <v>1</v>
      </c>
      <c r="E7" s="54">
        <v>1.1</v>
      </c>
      <c r="F7" s="54">
        <v>1.2</v>
      </c>
      <c r="G7" s="54">
        <v>1.3</v>
      </c>
      <c r="H7" s="54">
        <v>1.4</v>
      </c>
      <c r="I7" s="54">
        <v>1.5</v>
      </c>
      <c r="J7" s="54">
        <v>1.6</v>
      </c>
      <c r="K7" s="54">
        <v>1.7</v>
      </c>
      <c r="L7" s="54">
        <v>1.8</v>
      </c>
      <c r="M7" s="54">
        <v>1.9</v>
      </c>
      <c r="N7" s="54">
        <v>2</v>
      </c>
      <c r="Q7" s="49">
        <f>Data!G7</f>
        <v>1.9649791814756747</v>
      </c>
      <c r="R7" s="35">
        <f>Data!G8</f>
        <v>2.176473005528454</v>
      </c>
      <c r="Z7" s="7"/>
    </row>
    <row r="8" spans="2:26" ht="13.5" thickBot="1">
      <c r="B8" s="16" t="s">
        <v>41</v>
      </c>
      <c r="C8" s="72">
        <v>50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Q8" s="5"/>
      <c r="R8" s="2"/>
      <c r="Z8" s="7"/>
    </row>
    <row r="9" spans="2:26" ht="12.75">
      <c r="B9" s="68" t="s">
        <v>34</v>
      </c>
      <c r="C9" s="58">
        <f>(LN(rate_0*EXP(-r_GBP*time)/Exercise_rate)+(r_USD+0.5*sigma_rate^2)*time)/(sigma_rate*(time^0.5))</f>
        <v>-0.12500000000000022</v>
      </c>
      <c r="D9" s="2"/>
      <c r="E9" s="2"/>
      <c r="F9" s="2"/>
      <c r="G9" s="2"/>
      <c r="H9" s="2"/>
      <c r="I9" s="2"/>
      <c r="J9" s="2"/>
      <c r="K9" s="2"/>
      <c r="L9" s="2"/>
      <c r="M9" s="2"/>
      <c r="Z9" s="7"/>
    </row>
    <row r="10" spans="2:26" ht="12.75">
      <c r="B10" s="69" t="s">
        <v>35</v>
      </c>
      <c r="C10" s="59">
        <f>(LN(rate_0*EXP(-r_GBP*time)/Exercise_rate)+(r_USD-0.5*sigma_rate^2)*time)/(sigma_rate*(time^0.5))</f>
        <v>-0.2750000000000002</v>
      </c>
      <c r="D10" s="2"/>
      <c r="E10" s="2"/>
      <c r="F10" s="2"/>
      <c r="G10" s="2"/>
      <c r="H10" s="2"/>
      <c r="I10" s="2"/>
      <c r="J10" s="2"/>
      <c r="K10" s="2"/>
      <c r="L10" s="2"/>
      <c r="M10" s="2"/>
      <c r="Z10" s="7"/>
    </row>
    <row r="11" spans="2:26" ht="12.75">
      <c r="B11" s="69" t="s">
        <v>33</v>
      </c>
      <c r="C11" s="59">
        <f>rate_0*EXP(-r_GBP*time)*NORMSDIST(C9)-Exercise_rate*EXP(-r_USD*time)*NORMSDIST(C10)</f>
        <v>0.06690202252680721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Z11" s="7"/>
    </row>
    <row r="12" spans="2:26" ht="12.75">
      <c r="B12" s="69" t="s">
        <v>38</v>
      </c>
      <c r="C12" s="64">
        <f>(C6/Exercise_rate)*(C8/100)</f>
        <v>2500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Z12" s="7"/>
    </row>
    <row r="13" spans="2:26" ht="13.5" thickBot="1">
      <c r="B13" s="70" t="s">
        <v>36</v>
      </c>
      <c r="C13" s="60">
        <f>C12*C11/rate_0</f>
        <v>104.53441019813627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Z13" s="7"/>
    </row>
    <row r="14" spans="2:18" ht="12.75">
      <c r="B14" s="15" t="s">
        <v>9</v>
      </c>
      <c r="C14" s="77"/>
      <c r="D14" s="66">
        <f aca="true" t="shared" si="0" ref="D14:N14">($C$8/100)*Sales_in_USD/MIN(Exercise_rate,D7)+((100-$C$8)/100)*Sales_in_USD/D7</f>
        <v>8000</v>
      </c>
      <c r="E14" s="66">
        <f t="shared" si="0"/>
        <v>7272.727272727272</v>
      </c>
      <c r="F14" s="66">
        <f t="shared" si="0"/>
        <v>6666.666666666667</v>
      </c>
      <c r="G14" s="66">
        <f t="shared" si="0"/>
        <v>6153.846153846153</v>
      </c>
      <c r="H14" s="66">
        <f t="shared" si="0"/>
        <v>5714.285714285715</v>
      </c>
      <c r="I14" s="66">
        <f t="shared" si="0"/>
        <v>5333.333333333333</v>
      </c>
      <c r="J14" s="66">
        <f t="shared" si="0"/>
        <v>5000</v>
      </c>
      <c r="K14" s="66">
        <f t="shared" si="0"/>
        <v>4852.941176470588</v>
      </c>
      <c r="L14" s="66">
        <f t="shared" si="0"/>
        <v>4722.222222222223</v>
      </c>
      <c r="M14" s="66">
        <f t="shared" si="0"/>
        <v>4605.263157894737</v>
      </c>
      <c r="N14" s="66">
        <f t="shared" si="0"/>
        <v>4500</v>
      </c>
      <c r="Q14" s="39">
        <f>($C$8/100)*Sales_in_USD/MIN(Exercise_rate,Q7)+((100-$C$8)/100)*Sales_in_USD/Q7</f>
        <v>4535.644976653672</v>
      </c>
      <c r="R14" s="66">
        <f>($C$8/100)*Sales_in_USD/MIN(Exercise_rate,R7)+((100-$C$8)/100)*Sales_in_USD/R7</f>
        <v>4337.835796648803</v>
      </c>
    </row>
    <row r="15" spans="2:18" ht="12.75">
      <c r="B15" s="16" t="s">
        <v>10</v>
      </c>
      <c r="C15" s="78"/>
      <c r="D15" s="17">
        <f aca="true" t="shared" si="1" ref="D15:N15">Costs</f>
        <v>3000</v>
      </c>
      <c r="E15" s="20">
        <f t="shared" si="1"/>
        <v>3000</v>
      </c>
      <c r="F15" s="20">
        <f t="shared" si="1"/>
        <v>3000</v>
      </c>
      <c r="G15" s="20">
        <f t="shared" si="1"/>
        <v>3000</v>
      </c>
      <c r="H15" s="20">
        <f t="shared" si="1"/>
        <v>3000</v>
      </c>
      <c r="I15" s="20">
        <f t="shared" si="1"/>
        <v>3000</v>
      </c>
      <c r="J15" s="20">
        <f t="shared" si="1"/>
        <v>3000</v>
      </c>
      <c r="K15" s="20">
        <f t="shared" si="1"/>
        <v>3000</v>
      </c>
      <c r="L15" s="20">
        <f t="shared" si="1"/>
        <v>3000</v>
      </c>
      <c r="M15" s="20">
        <f t="shared" si="1"/>
        <v>3000</v>
      </c>
      <c r="N15" s="20">
        <f t="shared" si="1"/>
        <v>3000</v>
      </c>
      <c r="Q15" s="20">
        <f>Costs</f>
        <v>3000</v>
      </c>
      <c r="R15" s="20">
        <f>Costs</f>
        <v>3000</v>
      </c>
    </row>
    <row r="16" spans="2:18" ht="12.75">
      <c r="B16" s="16" t="s">
        <v>11</v>
      </c>
      <c r="C16" s="79"/>
      <c r="D16" s="67">
        <f aca="true" t="shared" si="2" ref="D16:N16">D14-D15</f>
        <v>5000</v>
      </c>
      <c r="E16" s="31">
        <f t="shared" si="2"/>
        <v>4272.727272727272</v>
      </c>
      <c r="F16" s="31">
        <f t="shared" si="2"/>
        <v>3666.666666666667</v>
      </c>
      <c r="G16" s="31">
        <f t="shared" si="2"/>
        <v>3153.8461538461534</v>
      </c>
      <c r="H16" s="31">
        <f t="shared" si="2"/>
        <v>2714.2857142857147</v>
      </c>
      <c r="I16" s="31">
        <f t="shared" si="2"/>
        <v>2333.333333333333</v>
      </c>
      <c r="J16" s="31">
        <f t="shared" si="2"/>
        <v>2000</v>
      </c>
      <c r="K16" s="31">
        <f t="shared" si="2"/>
        <v>1852.9411764705883</v>
      </c>
      <c r="L16" s="31">
        <f t="shared" si="2"/>
        <v>1722.2222222222226</v>
      </c>
      <c r="M16" s="31">
        <f t="shared" si="2"/>
        <v>1605.2631578947367</v>
      </c>
      <c r="N16" s="31">
        <f t="shared" si="2"/>
        <v>1500</v>
      </c>
      <c r="Q16" s="31">
        <f>Q14-Q15</f>
        <v>1535.6449766536716</v>
      </c>
      <c r="R16" s="31">
        <f>R14-R15</f>
        <v>1337.835796648803</v>
      </c>
    </row>
    <row r="17" spans="2:18" ht="12.75">
      <c r="B17" s="16" t="s">
        <v>31</v>
      </c>
      <c r="C17" s="79"/>
      <c r="D17" s="45">
        <f aca="true" t="shared" si="3" ref="D17:N17">r_loan*$C$13</f>
        <v>16.725505631701804</v>
      </c>
      <c r="E17" s="45">
        <f t="shared" si="3"/>
        <v>16.725505631701804</v>
      </c>
      <c r="F17" s="45">
        <f t="shared" si="3"/>
        <v>16.725505631701804</v>
      </c>
      <c r="G17" s="45">
        <f t="shared" si="3"/>
        <v>16.725505631701804</v>
      </c>
      <c r="H17" s="45">
        <f t="shared" si="3"/>
        <v>16.725505631701804</v>
      </c>
      <c r="I17" s="45">
        <f t="shared" si="3"/>
        <v>16.725505631701804</v>
      </c>
      <c r="J17" s="45">
        <f t="shared" si="3"/>
        <v>16.725505631701804</v>
      </c>
      <c r="K17" s="45">
        <f t="shared" si="3"/>
        <v>16.725505631701804</v>
      </c>
      <c r="L17" s="45">
        <f t="shared" si="3"/>
        <v>16.725505631701804</v>
      </c>
      <c r="M17" s="45">
        <f t="shared" si="3"/>
        <v>16.725505631701804</v>
      </c>
      <c r="N17" s="45">
        <f t="shared" si="3"/>
        <v>16.725505631701804</v>
      </c>
      <c r="Q17" s="45">
        <f>r_loan*$C$13</f>
        <v>16.725505631701804</v>
      </c>
      <c r="R17" s="45">
        <f>r_loan*$C$13</f>
        <v>16.725505631701804</v>
      </c>
    </row>
    <row r="18" spans="2:18" ht="12.75">
      <c r="B18" s="16" t="s">
        <v>39</v>
      </c>
      <c r="C18" s="79"/>
      <c r="D18" s="62">
        <f aca="true" t="shared" si="4" ref="D18:N18">D16-D17</f>
        <v>4983.274494368298</v>
      </c>
      <c r="E18" s="45">
        <f t="shared" si="4"/>
        <v>4256.00176709557</v>
      </c>
      <c r="F18" s="45">
        <f t="shared" si="4"/>
        <v>3649.9411610349653</v>
      </c>
      <c r="G18" s="45">
        <f t="shared" si="4"/>
        <v>3137.1206482144516</v>
      </c>
      <c r="H18" s="45">
        <f t="shared" si="4"/>
        <v>2697.560208654013</v>
      </c>
      <c r="I18" s="45">
        <f t="shared" si="4"/>
        <v>2316.6078277016313</v>
      </c>
      <c r="J18" s="45">
        <f t="shared" si="4"/>
        <v>1983.2744943682983</v>
      </c>
      <c r="K18" s="45">
        <f t="shared" si="4"/>
        <v>1836.2156708388866</v>
      </c>
      <c r="L18" s="45">
        <f t="shared" si="4"/>
        <v>1705.496716590521</v>
      </c>
      <c r="M18" s="45">
        <f t="shared" si="4"/>
        <v>1588.537652263035</v>
      </c>
      <c r="N18" s="45">
        <f t="shared" si="4"/>
        <v>1483.2744943682983</v>
      </c>
      <c r="Q18" s="45">
        <f>Q16-Q17</f>
        <v>1518.91947102197</v>
      </c>
      <c r="R18" s="45">
        <f>R16-R17</f>
        <v>1321.1102910171012</v>
      </c>
    </row>
    <row r="19" spans="2:18" ht="12.75">
      <c r="B19" s="16" t="s">
        <v>12</v>
      </c>
      <c r="C19" s="79"/>
      <c r="D19" s="62">
        <f aca="true" t="shared" si="5" ref="D19:N19">D18*Tax_rate</f>
        <v>996.6548988736597</v>
      </c>
      <c r="E19" s="45">
        <f t="shared" si="5"/>
        <v>851.2003534191141</v>
      </c>
      <c r="F19" s="45">
        <f t="shared" si="5"/>
        <v>729.9882322069931</v>
      </c>
      <c r="G19" s="45">
        <f t="shared" si="5"/>
        <v>627.4241296428904</v>
      </c>
      <c r="H19" s="45">
        <f t="shared" si="5"/>
        <v>539.5120417308026</v>
      </c>
      <c r="I19" s="45">
        <f t="shared" si="5"/>
        <v>463.3215655403263</v>
      </c>
      <c r="J19" s="45">
        <f t="shared" si="5"/>
        <v>396.6548988736597</v>
      </c>
      <c r="K19" s="45">
        <f t="shared" si="5"/>
        <v>367.2431341677773</v>
      </c>
      <c r="L19" s="45">
        <f t="shared" si="5"/>
        <v>341.0993433181042</v>
      </c>
      <c r="M19" s="45">
        <f t="shared" si="5"/>
        <v>317.707530452607</v>
      </c>
      <c r="N19" s="45">
        <f t="shared" si="5"/>
        <v>296.65489887365965</v>
      </c>
      <c r="Q19" s="45">
        <f>Q18*Tax_rate</f>
        <v>303.783894204394</v>
      </c>
      <c r="R19" s="45">
        <f>R18*Tax_rate</f>
        <v>264.22205820342026</v>
      </c>
    </row>
    <row r="20" spans="2:18" ht="12.75">
      <c r="B20" s="16" t="s">
        <v>13</v>
      </c>
      <c r="C20" s="79"/>
      <c r="D20" s="45">
        <f aca="true" t="shared" si="6" ref="D20:N20">D18-D19</f>
        <v>3986.619595494639</v>
      </c>
      <c r="E20" s="45">
        <f t="shared" si="6"/>
        <v>3404.8014136764564</v>
      </c>
      <c r="F20" s="45">
        <f t="shared" si="6"/>
        <v>2919.9529288279723</v>
      </c>
      <c r="G20" s="45">
        <f t="shared" si="6"/>
        <v>2509.6965185715612</v>
      </c>
      <c r="H20" s="45">
        <f t="shared" si="6"/>
        <v>2158.0481669232104</v>
      </c>
      <c r="I20" s="45">
        <f t="shared" si="6"/>
        <v>1853.286262161305</v>
      </c>
      <c r="J20" s="45">
        <f t="shared" si="6"/>
        <v>1586.6195954946386</v>
      </c>
      <c r="K20" s="45">
        <f t="shared" si="6"/>
        <v>1468.9725366711093</v>
      </c>
      <c r="L20" s="45">
        <f t="shared" si="6"/>
        <v>1364.3973732724166</v>
      </c>
      <c r="M20" s="45">
        <f t="shared" si="6"/>
        <v>1270.830121810428</v>
      </c>
      <c r="N20" s="45">
        <f t="shared" si="6"/>
        <v>1186.6195954946386</v>
      </c>
      <c r="Q20" s="45">
        <f>Q18-Q19</f>
        <v>1215.1355768175758</v>
      </c>
      <c r="R20" s="45">
        <f>R18-R19</f>
        <v>1056.888232813681</v>
      </c>
    </row>
    <row r="21" spans="2:18" ht="12.75">
      <c r="B21" s="16" t="s">
        <v>32</v>
      </c>
      <c r="C21" s="79"/>
      <c r="D21" s="62">
        <f aca="true" t="shared" si="7" ref="D21:N21">$C$13</f>
        <v>104.53441019813627</v>
      </c>
      <c r="E21" s="62">
        <f t="shared" si="7"/>
        <v>104.53441019813627</v>
      </c>
      <c r="F21" s="62">
        <f t="shared" si="7"/>
        <v>104.53441019813627</v>
      </c>
      <c r="G21" s="62">
        <f t="shared" si="7"/>
        <v>104.53441019813627</v>
      </c>
      <c r="H21" s="62">
        <f t="shared" si="7"/>
        <v>104.53441019813627</v>
      </c>
      <c r="I21" s="62">
        <f t="shared" si="7"/>
        <v>104.53441019813627</v>
      </c>
      <c r="J21" s="62">
        <f t="shared" si="7"/>
        <v>104.53441019813627</v>
      </c>
      <c r="K21" s="62">
        <f t="shared" si="7"/>
        <v>104.53441019813627</v>
      </c>
      <c r="L21" s="62">
        <f t="shared" si="7"/>
        <v>104.53441019813627</v>
      </c>
      <c r="M21" s="62">
        <f t="shared" si="7"/>
        <v>104.53441019813627</v>
      </c>
      <c r="N21" s="62">
        <f t="shared" si="7"/>
        <v>104.53441019813627</v>
      </c>
      <c r="Q21" s="45">
        <f>$C$13</f>
        <v>104.53441019813627</v>
      </c>
      <c r="R21" s="62">
        <f>$C$13</f>
        <v>104.53441019813627</v>
      </c>
    </row>
    <row r="22" spans="2:18" ht="12.75">
      <c r="B22" s="16" t="s">
        <v>14</v>
      </c>
      <c r="C22" s="78"/>
      <c r="D22" s="17">
        <f aca="true" t="shared" si="8" ref="D22:N22">Dividend</f>
        <v>1250</v>
      </c>
      <c r="E22" s="20">
        <f t="shared" si="8"/>
        <v>1250</v>
      </c>
      <c r="F22" s="20">
        <f t="shared" si="8"/>
        <v>1250</v>
      </c>
      <c r="G22" s="20">
        <f t="shared" si="8"/>
        <v>1250</v>
      </c>
      <c r="H22" s="20">
        <f t="shared" si="8"/>
        <v>1250</v>
      </c>
      <c r="I22" s="20">
        <f t="shared" si="8"/>
        <v>1250</v>
      </c>
      <c r="J22" s="20">
        <f t="shared" si="8"/>
        <v>1250</v>
      </c>
      <c r="K22" s="20">
        <f t="shared" si="8"/>
        <v>1250</v>
      </c>
      <c r="L22" s="20">
        <f t="shared" si="8"/>
        <v>1250</v>
      </c>
      <c r="M22" s="20">
        <f t="shared" si="8"/>
        <v>1250</v>
      </c>
      <c r="N22" s="20">
        <f t="shared" si="8"/>
        <v>1250</v>
      </c>
      <c r="Q22" s="21">
        <f>Dividend</f>
        <v>1250</v>
      </c>
      <c r="R22" s="20">
        <f>Dividend</f>
        <v>1250</v>
      </c>
    </row>
    <row r="23" spans="2:18" ht="12.75">
      <c r="B23" s="18" t="s">
        <v>22</v>
      </c>
      <c r="C23" s="80"/>
      <c r="D23" s="63">
        <f aca="true" t="shared" si="9" ref="D23:N23">D20-D22-D21</f>
        <v>2632.0851852965025</v>
      </c>
      <c r="E23" s="46">
        <f t="shared" si="9"/>
        <v>2050.26700347832</v>
      </c>
      <c r="F23" s="46">
        <f t="shared" si="9"/>
        <v>1565.418518629836</v>
      </c>
      <c r="G23" s="46">
        <f t="shared" si="9"/>
        <v>1155.1621083734249</v>
      </c>
      <c r="H23" s="46">
        <f t="shared" si="9"/>
        <v>803.5137567250741</v>
      </c>
      <c r="I23" s="46">
        <f t="shared" si="9"/>
        <v>498.75185196316886</v>
      </c>
      <c r="J23" s="46">
        <f t="shared" si="9"/>
        <v>232.08518529650232</v>
      </c>
      <c r="K23" s="46">
        <f t="shared" si="9"/>
        <v>114.43812647297304</v>
      </c>
      <c r="L23" s="46">
        <f t="shared" si="9"/>
        <v>9.862963074280373</v>
      </c>
      <c r="M23" s="46">
        <f t="shared" si="9"/>
        <v>-83.70428838770832</v>
      </c>
      <c r="N23" s="46">
        <f t="shared" si="9"/>
        <v>-167.91481470349768</v>
      </c>
      <c r="Q23" s="73">
        <f>Q20-Q22-Q21</f>
        <v>-139.39883338056043</v>
      </c>
      <c r="R23" s="73">
        <f>R20-R22-R21</f>
        <v>-297.6461773844552</v>
      </c>
    </row>
    <row r="24" spans="16:18" ht="12.75">
      <c r="P24" s="40" t="s">
        <v>23</v>
      </c>
      <c r="Q24" s="51">
        <f>-Q23</f>
        <v>139.39883338056043</v>
      </c>
      <c r="R24" s="52">
        <f>-R23</f>
        <v>297.6461773844552</v>
      </c>
    </row>
    <row r="25" ht="12.75">
      <c r="B25" s="14" t="s">
        <v>2</v>
      </c>
    </row>
    <row r="26" ht="12.75">
      <c r="B26" s="9" t="s">
        <v>3</v>
      </c>
    </row>
    <row r="27" ht="12.75">
      <c r="B27" s="10" t="s">
        <v>4</v>
      </c>
    </row>
    <row r="28" ht="12.75">
      <c r="B28" s="12" t="s">
        <v>40</v>
      </c>
    </row>
    <row r="45" ht="12.75"/>
  </sheetData>
  <mergeCells count="3">
    <mergeCell ref="B5:C5"/>
    <mergeCell ref="Q5:R5"/>
    <mergeCell ref="D6:N6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Word.Document.8" shapeId="28353347" r:id="rId1"/>
    <oleObject progId="Word.Document.8" shapeId="2837007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B1:Z2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7.00390625" style="1" customWidth="1"/>
    <col min="3" max="3" width="8.421875" style="1" customWidth="1"/>
    <col min="4" max="4" width="5.00390625" style="1" bestFit="1" customWidth="1"/>
    <col min="5" max="14" width="5.140625" style="1" customWidth="1"/>
    <col min="15" max="15" width="6.7109375" style="1" customWidth="1"/>
    <col min="16" max="16" width="4.57421875" style="1" bestFit="1" customWidth="1"/>
    <col min="17" max="22" width="6.7109375" style="1" customWidth="1"/>
    <col min="23" max="26" width="7.7109375" style="1" customWidth="1"/>
    <col min="27" max="16384" width="9.140625" style="1" customWidth="1"/>
  </cols>
  <sheetData>
    <row r="1" s="75" customFormat="1" ht="12.75">
      <c r="B1" s="75" t="s">
        <v>1</v>
      </c>
    </row>
    <row r="2" s="75" customFormat="1" ht="12.75">
      <c r="B2" s="75" t="s">
        <v>5</v>
      </c>
    </row>
    <row r="3" s="8" customFormat="1" ht="12.75">
      <c r="B3" s="8" t="s">
        <v>6</v>
      </c>
    </row>
    <row r="4" s="11" customFormat="1" ht="12.75">
      <c r="C4" s="11">
        <v>16</v>
      </c>
    </row>
    <row r="5" spans="2:18" ht="12.75">
      <c r="B5" s="81" t="s">
        <v>21</v>
      </c>
      <c r="C5" s="82"/>
      <c r="Q5" s="81" t="s">
        <v>24</v>
      </c>
      <c r="R5" s="82"/>
    </row>
    <row r="6" spans="2:18" ht="13.5" thickBot="1">
      <c r="B6" s="27" t="s">
        <v>7</v>
      </c>
      <c r="C6" s="19">
        <f>Sales_in_USD</f>
        <v>8000</v>
      </c>
      <c r="D6" s="83" t="s">
        <v>29</v>
      </c>
      <c r="E6" s="83"/>
      <c r="F6" s="83"/>
      <c r="G6" s="83"/>
      <c r="H6" s="83"/>
      <c r="I6" s="83"/>
      <c r="J6" s="83"/>
      <c r="K6" s="83"/>
      <c r="L6" s="83"/>
      <c r="M6" s="83"/>
      <c r="N6" s="82"/>
      <c r="Q6" s="37">
        <v>0.95</v>
      </c>
      <c r="R6" s="74">
        <v>0.99</v>
      </c>
    </row>
    <row r="7" spans="2:26" ht="13.5" thickBot="1">
      <c r="B7" s="16" t="s">
        <v>37</v>
      </c>
      <c r="C7" s="71">
        <f>C4/10</f>
        <v>1.6</v>
      </c>
      <c r="D7" s="53">
        <v>1</v>
      </c>
      <c r="E7" s="54">
        <v>1.1</v>
      </c>
      <c r="F7" s="54">
        <v>1.2</v>
      </c>
      <c r="G7" s="54">
        <v>1.3</v>
      </c>
      <c r="H7" s="54">
        <v>1.4</v>
      </c>
      <c r="I7" s="54">
        <v>1.5</v>
      </c>
      <c r="J7" s="54">
        <v>1.6</v>
      </c>
      <c r="K7" s="54">
        <v>1.7</v>
      </c>
      <c r="L7" s="54">
        <v>1.8</v>
      </c>
      <c r="M7" s="54">
        <v>1.9</v>
      </c>
      <c r="N7" s="54">
        <v>2</v>
      </c>
      <c r="Q7" s="49">
        <f>Data!G7</f>
        <v>1.9649791814756747</v>
      </c>
      <c r="R7" s="35">
        <f>Data!G8</f>
        <v>2.176473005528454</v>
      </c>
      <c r="Z7" s="7"/>
    </row>
    <row r="8" spans="2:26" ht="13.5" thickBot="1">
      <c r="B8" s="16" t="s">
        <v>41</v>
      </c>
      <c r="C8" s="72">
        <v>50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Q8" s="5"/>
      <c r="R8" s="2"/>
      <c r="Z8" s="7"/>
    </row>
    <row r="9" spans="2:26" ht="12.75">
      <c r="B9" s="68" t="s">
        <v>34</v>
      </c>
      <c r="C9" s="58">
        <f>(LN(rate_0*EXP(-r_GBP*time)/Exercise_rate)+(r_USD+0.5*sigma_rate^2)*time)/(sigma_rate*(time^0.5))</f>
        <v>-0.12500000000000022</v>
      </c>
      <c r="D9" s="2"/>
      <c r="E9" s="2"/>
      <c r="F9" s="2"/>
      <c r="G9" s="2"/>
      <c r="H9" s="2"/>
      <c r="I9" s="2"/>
      <c r="J9" s="2"/>
      <c r="K9" s="2"/>
      <c r="L9" s="2"/>
      <c r="M9" s="2"/>
      <c r="Z9" s="7"/>
    </row>
    <row r="10" spans="2:26" ht="12.75">
      <c r="B10" s="69" t="s">
        <v>35</v>
      </c>
      <c r="C10" s="59">
        <f>(LN(rate_0*EXP(-r_GBP*time)/Exercise_rate)+(r_USD-0.5*sigma_rate^2)*time)/(sigma_rate*(time^0.5))</f>
        <v>-0.2750000000000002</v>
      </c>
      <c r="D10" s="2"/>
      <c r="E10" s="2"/>
      <c r="F10" s="2"/>
      <c r="G10" s="2"/>
      <c r="H10" s="2"/>
      <c r="I10" s="2"/>
      <c r="J10" s="2"/>
      <c r="K10" s="2"/>
      <c r="L10" s="2"/>
      <c r="M10" s="2"/>
      <c r="Z10" s="7"/>
    </row>
    <row r="11" spans="2:26" ht="12.75">
      <c r="B11" s="69" t="s">
        <v>33</v>
      </c>
      <c r="C11" s="59">
        <f>rate_0*EXP(-r_GBP*time)*NORMSDIST(C9)-Exercise_rate*EXP(-r_USD*time)*NORMSDIST(C10)</f>
        <v>0.06690202252680721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Z11" s="7"/>
    </row>
    <row r="12" spans="2:26" ht="12.75">
      <c r="B12" s="69" t="s">
        <v>38</v>
      </c>
      <c r="C12" s="64">
        <f>(C6/Exercise_rate)*(C8/100)</f>
        <v>2500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Z12" s="7"/>
    </row>
    <row r="13" spans="2:26" ht="13.5" thickBot="1">
      <c r="B13" s="70" t="s">
        <v>36</v>
      </c>
      <c r="C13" s="60">
        <f>C12*C11/rate_0</f>
        <v>104.53441019813627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Z13" s="7"/>
    </row>
    <row r="14" spans="2:18" ht="12.75">
      <c r="B14" s="15" t="s">
        <v>9</v>
      </c>
      <c r="C14" s="77"/>
      <c r="D14" s="66">
        <f aca="true" t="shared" si="0" ref="D14:N14">($C$8/100)*Sales_in_USD/MIN(Exercise_rate,D7)+((100-$C$8)/100)*Sales_in_USD/forward_rate</f>
        <v>6576.136334883792</v>
      </c>
      <c r="E14" s="66">
        <f t="shared" si="0"/>
        <v>6212.499971247428</v>
      </c>
      <c r="F14" s="66">
        <f t="shared" si="0"/>
        <v>5909.469668217125</v>
      </c>
      <c r="G14" s="66">
        <f t="shared" si="0"/>
        <v>5653.059411806869</v>
      </c>
      <c r="H14" s="66">
        <f t="shared" si="0"/>
        <v>5433.27919202665</v>
      </c>
      <c r="I14" s="66">
        <f t="shared" si="0"/>
        <v>5242.803001550459</v>
      </c>
      <c r="J14" s="66">
        <f t="shared" si="0"/>
        <v>5076.136334883792</v>
      </c>
      <c r="K14" s="66">
        <f t="shared" si="0"/>
        <v>5076.136334883792</v>
      </c>
      <c r="L14" s="66">
        <f t="shared" si="0"/>
        <v>5076.136334883792</v>
      </c>
      <c r="M14" s="66">
        <f t="shared" si="0"/>
        <v>5076.136334883792</v>
      </c>
      <c r="N14" s="66">
        <f t="shared" si="0"/>
        <v>5076.136334883792</v>
      </c>
      <c r="Q14" s="39">
        <f>($C$8/100)*Sales_in_USD/MIN(Exercise_rate,Q7)+((100-$C$8)/100)*Sales_in_USD/forward_rate</f>
        <v>5076.136334883792</v>
      </c>
      <c r="R14" s="66">
        <f>($C$8/100)*Sales_in_USD/MIN(Exercise_rate,R7)+((100-$C$8)/100)*Sales_in_USD/forward_rate</f>
        <v>5076.136334883792</v>
      </c>
    </row>
    <row r="15" spans="2:18" ht="12.75">
      <c r="B15" s="16" t="s">
        <v>10</v>
      </c>
      <c r="C15" s="78"/>
      <c r="D15" s="17">
        <f aca="true" t="shared" si="1" ref="D15:N15">Costs</f>
        <v>3000</v>
      </c>
      <c r="E15" s="20">
        <f t="shared" si="1"/>
        <v>3000</v>
      </c>
      <c r="F15" s="20">
        <f t="shared" si="1"/>
        <v>3000</v>
      </c>
      <c r="G15" s="20">
        <f t="shared" si="1"/>
        <v>3000</v>
      </c>
      <c r="H15" s="20">
        <f t="shared" si="1"/>
        <v>3000</v>
      </c>
      <c r="I15" s="20">
        <f t="shared" si="1"/>
        <v>3000</v>
      </c>
      <c r="J15" s="20">
        <f t="shared" si="1"/>
        <v>3000</v>
      </c>
      <c r="K15" s="20">
        <f t="shared" si="1"/>
        <v>3000</v>
      </c>
      <c r="L15" s="20">
        <f t="shared" si="1"/>
        <v>3000</v>
      </c>
      <c r="M15" s="20">
        <f t="shared" si="1"/>
        <v>3000</v>
      </c>
      <c r="N15" s="20">
        <f t="shared" si="1"/>
        <v>3000</v>
      </c>
      <c r="Q15" s="20">
        <f>Costs</f>
        <v>3000</v>
      </c>
      <c r="R15" s="20">
        <f>Costs</f>
        <v>3000</v>
      </c>
    </row>
    <row r="16" spans="2:18" ht="12.75">
      <c r="B16" s="16" t="s">
        <v>11</v>
      </c>
      <c r="C16" s="79"/>
      <c r="D16" s="67">
        <f aca="true" t="shared" si="2" ref="D16:N16">D14-D15</f>
        <v>3576.136334883792</v>
      </c>
      <c r="E16" s="31">
        <f t="shared" si="2"/>
        <v>3212.499971247428</v>
      </c>
      <c r="F16" s="31">
        <f t="shared" si="2"/>
        <v>2909.469668217125</v>
      </c>
      <c r="G16" s="31">
        <f t="shared" si="2"/>
        <v>2653.0594118068693</v>
      </c>
      <c r="H16" s="31">
        <f t="shared" si="2"/>
        <v>2433.27919202665</v>
      </c>
      <c r="I16" s="31">
        <f t="shared" si="2"/>
        <v>2242.803001550459</v>
      </c>
      <c r="J16" s="31">
        <f t="shared" si="2"/>
        <v>2076.136334883792</v>
      </c>
      <c r="K16" s="31">
        <f t="shared" si="2"/>
        <v>2076.136334883792</v>
      </c>
      <c r="L16" s="31">
        <f t="shared" si="2"/>
        <v>2076.136334883792</v>
      </c>
      <c r="M16" s="31">
        <f t="shared" si="2"/>
        <v>2076.136334883792</v>
      </c>
      <c r="N16" s="31">
        <f t="shared" si="2"/>
        <v>2076.136334883792</v>
      </c>
      <c r="Q16" s="31">
        <f>Q14-Q15</f>
        <v>2076.136334883792</v>
      </c>
      <c r="R16" s="31">
        <f>R14-R15</f>
        <v>2076.136334883792</v>
      </c>
    </row>
    <row r="17" spans="2:18" ht="12.75">
      <c r="B17" s="16" t="s">
        <v>31</v>
      </c>
      <c r="C17" s="79"/>
      <c r="D17" s="62">
        <f aca="true" t="shared" si="3" ref="D17:N17">r_loan*$C$13</f>
        <v>16.725505631701804</v>
      </c>
      <c r="E17" s="62">
        <f t="shared" si="3"/>
        <v>16.725505631701804</v>
      </c>
      <c r="F17" s="62">
        <f t="shared" si="3"/>
        <v>16.725505631701804</v>
      </c>
      <c r="G17" s="62">
        <f t="shared" si="3"/>
        <v>16.725505631701804</v>
      </c>
      <c r="H17" s="62">
        <f t="shared" si="3"/>
        <v>16.725505631701804</v>
      </c>
      <c r="I17" s="62">
        <f t="shared" si="3"/>
        <v>16.725505631701804</v>
      </c>
      <c r="J17" s="62">
        <f t="shared" si="3"/>
        <v>16.725505631701804</v>
      </c>
      <c r="K17" s="62">
        <f t="shared" si="3"/>
        <v>16.725505631701804</v>
      </c>
      <c r="L17" s="62">
        <f t="shared" si="3"/>
        <v>16.725505631701804</v>
      </c>
      <c r="M17" s="62">
        <f t="shared" si="3"/>
        <v>16.725505631701804</v>
      </c>
      <c r="N17" s="62">
        <f t="shared" si="3"/>
        <v>16.725505631701804</v>
      </c>
      <c r="Q17" s="45">
        <f>r_loan*$C$13</f>
        <v>16.725505631701804</v>
      </c>
      <c r="R17" s="62">
        <f>r_loan*$C$13</f>
        <v>16.725505631701804</v>
      </c>
    </row>
    <row r="18" spans="2:18" ht="12.75">
      <c r="B18" s="16" t="s">
        <v>39</v>
      </c>
      <c r="C18" s="79"/>
      <c r="D18" s="62">
        <f aca="true" t="shared" si="4" ref="D18:N18">D16-D17</f>
        <v>3559.4108292520905</v>
      </c>
      <c r="E18" s="45">
        <f t="shared" si="4"/>
        <v>3195.7744656157265</v>
      </c>
      <c r="F18" s="45">
        <f t="shared" si="4"/>
        <v>2892.7441625854235</v>
      </c>
      <c r="G18" s="45">
        <f t="shared" si="4"/>
        <v>2636.3339061751676</v>
      </c>
      <c r="H18" s="45">
        <f t="shared" si="4"/>
        <v>2416.5536863949483</v>
      </c>
      <c r="I18" s="45">
        <f t="shared" si="4"/>
        <v>2226.0774959187574</v>
      </c>
      <c r="J18" s="45">
        <f t="shared" si="4"/>
        <v>2059.4108292520905</v>
      </c>
      <c r="K18" s="45">
        <f t="shared" si="4"/>
        <v>2059.4108292520905</v>
      </c>
      <c r="L18" s="45">
        <f t="shared" si="4"/>
        <v>2059.4108292520905</v>
      </c>
      <c r="M18" s="45">
        <f t="shared" si="4"/>
        <v>2059.4108292520905</v>
      </c>
      <c r="N18" s="45">
        <f t="shared" si="4"/>
        <v>2059.4108292520905</v>
      </c>
      <c r="Q18" s="45">
        <f>Q16-Q17</f>
        <v>2059.4108292520905</v>
      </c>
      <c r="R18" s="45">
        <f>R16-R17</f>
        <v>2059.4108292520905</v>
      </c>
    </row>
    <row r="19" spans="2:18" ht="12.75">
      <c r="B19" s="16" t="s">
        <v>12</v>
      </c>
      <c r="C19" s="79"/>
      <c r="D19" s="62">
        <f aca="true" t="shared" si="5" ref="D19:N19">D18*Tax_rate</f>
        <v>711.8821658504181</v>
      </c>
      <c r="E19" s="45">
        <f t="shared" si="5"/>
        <v>639.1548931231454</v>
      </c>
      <c r="F19" s="45">
        <f t="shared" si="5"/>
        <v>578.5488325170847</v>
      </c>
      <c r="G19" s="45">
        <f t="shared" si="5"/>
        <v>527.2667812350336</v>
      </c>
      <c r="H19" s="45">
        <f t="shared" si="5"/>
        <v>483.3107372789897</v>
      </c>
      <c r="I19" s="45">
        <f t="shared" si="5"/>
        <v>445.2154991837515</v>
      </c>
      <c r="J19" s="45">
        <f t="shared" si="5"/>
        <v>411.8821658504181</v>
      </c>
      <c r="K19" s="45">
        <f t="shared" si="5"/>
        <v>411.8821658504181</v>
      </c>
      <c r="L19" s="45">
        <f t="shared" si="5"/>
        <v>411.8821658504181</v>
      </c>
      <c r="M19" s="45">
        <f t="shared" si="5"/>
        <v>411.8821658504181</v>
      </c>
      <c r="N19" s="45">
        <f t="shared" si="5"/>
        <v>411.8821658504181</v>
      </c>
      <c r="Q19" s="45">
        <f>Q18*Tax_rate</f>
        <v>411.8821658504181</v>
      </c>
      <c r="R19" s="45">
        <f>R18*Tax_rate</f>
        <v>411.8821658504181</v>
      </c>
    </row>
    <row r="20" spans="2:18" ht="12.75">
      <c r="B20" s="16" t="s">
        <v>13</v>
      </c>
      <c r="C20" s="79"/>
      <c r="D20" s="45">
        <f aca="true" t="shared" si="6" ref="D20:N20">D18-D19</f>
        <v>2847.5286634016725</v>
      </c>
      <c r="E20" s="45">
        <f t="shared" si="6"/>
        <v>2556.619572492581</v>
      </c>
      <c r="F20" s="45">
        <f t="shared" si="6"/>
        <v>2314.195330068339</v>
      </c>
      <c r="G20" s="45">
        <f t="shared" si="6"/>
        <v>2109.067124940134</v>
      </c>
      <c r="H20" s="45">
        <f t="shared" si="6"/>
        <v>1933.2429491159587</v>
      </c>
      <c r="I20" s="45">
        <f t="shared" si="6"/>
        <v>1780.861996735006</v>
      </c>
      <c r="J20" s="45">
        <f t="shared" si="6"/>
        <v>1647.5286634016725</v>
      </c>
      <c r="K20" s="45">
        <f t="shared" si="6"/>
        <v>1647.5286634016725</v>
      </c>
      <c r="L20" s="45">
        <f t="shared" si="6"/>
        <v>1647.5286634016725</v>
      </c>
      <c r="M20" s="45">
        <f t="shared" si="6"/>
        <v>1647.5286634016725</v>
      </c>
      <c r="N20" s="45">
        <f t="shared" si="6"/>
        <v>1647.5286634016725</v>
      </c>
      <c r="Q20" s="45">
        <f>Q18-Q19</f>
        <v>1647.5286634016725</v>
      </c>
      <c r="R20" s="45">
        <f>R18-R19</f>
        <v>1647.5286634016725</v>
      </c>
    </row>
    <row r="21" spans="2:18" ht="12.75">
      <c r="B21" s="16" t="s">
        <v>32</v>
      </c>
      <c r="C21" s="79"/>
      <c r="D21" s="62">
        <f>$C$13</f>
        <v>104.53441019813627</v>
      </c>
      <c r="E21" s="62">
        <f aca="true" t="shared" si="7" ref="E21:N21">$C$13</f>
        <v>104.53441019813627</v>
      </c>
      <c r="F21" s="62">
        <f t="shared" si="7"/>
        <v>104.53441019813627</v>
      </c>
      <c r="G21" s="62">
        <f t="shared" si="7"/>
        <v>104.53441019813627</v>
      </c>
      <c r="H21" s="62">
        <f t="shared" si="7"/>
        <v>104.53441019813627</v>
      </c>
      <c r="I21" s="62">
        <f t="shared" si="7"/>
        <v>104.53441019813627</v>
      </c>
      <c r="J21" s="62">
        <f t="shared" si="7"/>
        <v>104.53441019813627</v>
      </c>
      <c r="K21" s="62">
        <f t="shared" si="7"/>
        <v>104.53441019813627</v>
      </c>
      <c r="L21" s="62">
        <f t="shared" si="7"/>
        <v>104.53441019813627</v>
      </c>
      <c r="M21" s="62">
        <f t="shared" si="7"/>
        <v>104.53441019813627</v>
      </c>
      <c r="N21" s="62">
        <f t="shared" si="7"/>
        <v>104.53441019813627</v>
      </c>
      <c r="Q21" s="45">
        <f>$C$13</f>
        <v>104.53441019813627</v>
      </c>
      <c r="R21" s="62">
        <f>$C$13</f>
        <v>104.53441019813627</v>
      </c>
    </row>
    <row r="22" spans="2:18" ht="12.75">
      <c r="B22" s="16" t="s">
        <v>14</v>
      </c>
      <c r="C22" s="78"/>
      <c r="D22" s="17">
        <f aca="true" t="shared" si="8" ref="D22:N22">Dividend</f>
        <v>1250</v>
      </c>
      <c r="E22" s="20">
        <f t="shared" si="8"/>
        <v>1250</v>
      </c>
      <c r="F22" s="20">
        <f t="shared" si="8"/>
        <v>1250</v>
      </c>
      <c r="G22" s="20">
        <f t="shared" si="8"/>
        <v>1250</v>
      </c>
      <c r="H22" s="20">
        <f t="shared" si="8"/>
        <v>1250</v>
      </c>
      <c r="I22" s="20">
        <f t="shared" si="8"/>
        <v>1250</v>
      </c>
      <c r="J22" s="20">
        <f t="shared" si="8"/>
        <v>1250</v>
      </c>
      <c r="K22" s="20">
        <f t="shared" si="8"/>
        <v>1250</v>
      </c>
      <c r="L22" s="20">
        <f t="shared" si="8"/>
        <v>1250</v>
      </c>
      <c r="M22" s="20">
        <f t="shared" si="8"/>
        <v>1250</v>
      </c>
      <c r="N22" s="20">
        <f t="shared" si="8"/>
        <v>1250</v>
      </c>
      <c r="Q22" s="21">
        <f>Dividend</f>
        <v>1250</v>
      </c>
      <c r="R22" s="20">
        <f>Dividend</f>
        <v>1250</v>
      </c>
    </row>
    <row r="23" spans="2:18" ht="12.75">
      <c r="B23" s="18" t="s">
        <v>22</v>
      </c>
      <c r="C23" s="80"/>
      <c r="D23" s="63">
        <f aca="true" t="shared" si="9" ref="D23:N23">D20-D22-D21</f>
        <v>1492.9942532035361</v>
      </c>
      <c r="E23" s="46">
        <f t="shared" si="9"/>
        <v>1202.0851622944447</v>
      </c>
      <c r="F23" s="46">
        <f t="shared" si="9"/>
        <v>959.6609198702027</v>
      </c>
      <c r="G23" s="46">
        <f t="shared" si="9"/>
        <v>754.5327147419977</v>
      </c>
      <c r="H23" s="46">
        <f t="shared" si="9"/>
        <v>578.7085389178225</v>
      </c>
      <c r="I23" s="46">
        <f t="shared" si="9"/>
        <v>426.3275865368697</v>
      </c>
      <c r="J23" s="46">
        <f t="shared" si="9"/>
        <v>292.99425320353623</v>
      </c>
      <c r="K23" s="46">
        <f t="shared" si="9"/>
        <v>292.99425320353623</v>
      </c>
      <c r="L23" s="46">
        <f t="shared" si="9"/>
        <v>292.99425320353623</v>
      </c>
      <c r="M23" s="46">
        <f t="shared" si="9"/>
        <v>292.99425320353623</v>
      </c>
      <c r="N23" s="46">
        <f t="shared" si="9"/>
        <v>292.99425320353623</v>
      </c>
      <c r="Q23" s="73">
        <f>Q20-Q22-Q21</f>
        <v>292.99425320353623</v>
      </c>
      <c r="R23" s="73">
        <f>R20-R22-R21</f>
        <v>292.99425320353623</v>
      </c>
    </row>
    <row r="24" spans="16:18" ht="12.75">
      <c r="P24" s="40" t="s">
        <v>23</v>
      </c>
      <c r="Q24" s="51">
        <f>-Q23</f>
        <v>-292.99425320353623</v>
      </c>
      <c r="R24" s="52">
        <f>-R23</f>
        <v>-292.99425320353623</v>
      </c>
    </row>
    <row r="25" ht="12.75">
      <c r="B25" s="14" t="s">
        <v>2</v>
      </c>
    </row>
    <row r="26" ht="12.75">
      <c r="B26" s="9" t="s">
        <v>3</v>
      </c>
    </row>
    <row r="27" ht="12.75">
      <c r="B27" s="10" t="s">
        <v>4</v>
      </c>
    </row>
    <row r="28" ht="12.75">
      <c r="B28" s="12" t="s">
        <v>40</v>
      </c>
    </row>
    <row r="45" ht="12.75"/>
  </sheetData>
  <mergeCells count="3">
    <mergeCell ref="B5:C5"/>
    <mergeCell ref="Q5:R5"/>
    <mergeCell ref="D6:N6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Word.Document.8" shapeId="28414639" r:id="rId1"/>
    <oleObject progId="Word.Document.8" shapeId="284146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2004-02-15T20:14:28Z</dcterms:modified>
  <cp:category/>
  <cp:version/>
  <cp:contentType/>
  <cp:contentStatus/>
</cp:coreProperties>
</file>