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9600" activeTab="5"/>
  </bookViews>
  <sheets>
    <sheet name="Data" sheetId="1" r:id="rId1"/>
    <sheet name="calibration" sheetId="2" r:id="rId2"/>
    <sheet name="stock" sheetId="3" r:id="rId3"/>
    <sheet name="options" sheetId="4" r:id="rId4"/>
    <sheet name="forward" sheetId="5" r:id="rId5"/>
    <sheet name="summary" sheetId="6" r:id="rId6"/>
  </sheets>
  <definedNames>
    <definedName name="call">'Data'!$D$18</definedName>
    <definedName name="D" localSheetId="4">'forward'!#REF!</definedName>
    <definedName name="D" localSheetId="3">'options'!#REF!</definedName>
    <definedName name="D" localSheetId="2">'stock'!$C$6</definedName>
    <definedName name="D" localSheetId="5">'summary'!$C$6</definedName>
    <definedName name="D">'calibration'!$C$6</definedName>
    <definedName name="d_hor">'Data'!$D$7</definedName>
    <definedName name="d_year">'Data'!$D$6</definedName>
    <definedName name="deposit">'Data'!$D$21</definedName>
    <definedName name="forward">'Data'!$D$20</definedName>
    <definedName name="I_wealth">'Data'!$D$11</definedName>
    <definedName name="k_stock">'Data'!$D$13</definedName>
    <definedName name="k_stock_day">'Data'!$D$14</definedName>
    <definedName name="k_stock_hor">'Data'!$D$15</definedName>
    <definedName name="p" localSheetId="0">'Data'!$D$23</definedName>
    <definedName name="p_rn" localSheetId="4">'forward'!#REF!</definedName>
    <definedName name="p_rn" localSheetId="3">'options'!#REF!</definedName>
    <definedName name="p_rn" localSheetId="2">'stock'!#REF!</definedName>
    <definedName name="p_rn" localSheetId="5">'summary'!#REF!</definedName>
    <definedName name="p_rn">'calibration'!$C$11</definedName>
    <definedName name="r_f">'Data'!$D$5</definedName>
    <definedName name="r_f_day">'Data'!$D$8</definedName>
    <definedName name="r_f_hor">'Data'!$D$9</definedName>
    <definedName name="S_0">'Data'!$D$17</definedName>
    <definedName name="solver_adj" localSheetId="1" hidden="1">'calibration'!$C$5:$C$6</definedName>
    <definedName name="solver_adj" localSheetId="4" hidden="1">'forward'!$C$5:$C$5</definedName>
    <definedName name="solver_adj" localSheetId="3" hidden="1">'options'!$C$5:$C$5</definedName>
    <definedName name="solver_adj" localSheetId="2" hidden="1">'stock'!$C$5:$C$6</definedName>
    <definedName name="solver_adj" localSheetId="5" hidden="1">'summary'!$C$5:$C$6</definedName>
    <definedName name="solver_cvg" localSheetId="1" hidden="1">0.0001</definedName>
    <definedName name="solver_cvg" localSheetId="4" hidden="1">0.0001</definedName>
    <definedName name="solver_cvg" localSheetId="3" hidden="1">0.0001</definedName>
    <definedName name="solver_cvg" localSheetId="2" hidden="1">0.0001</definedName>
    <definedName name="solver_cvg" localSheetId="5" hidden="1">0.0001</definedName>
    <definedName name="solver_drv" localSheetId="1" hidden="1">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drv" localSheetId="5" hidden="1">1</definedName>
    <definedName name="solver_est" localSheetId="1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est" localSheetId="5" hidden="1">1</definedName>
    <definedName name="solver_itr" localSheetId="1" hidden="1">100</definedName>
    <definedName name="solver_itr" localSheetId="4" hidden="1">100</definedName>
    <definedName name="solver_itr" localSheetId="3" hidden="1">100</definedName>
    <definedName name="solver_itr" localSheetId="2" hidden="1">100</definedName>
    <definedName name="solver_itr" localSheetId="5" hidden="1">100</definedName>
    <definedName name="solver_lin" localSheetId="1" hidden="1">2</definedName>
    <definedName name="solver_lin" localSheetId="4" hidden="1">2</definedName>
    <definedName name="solver_lin" localSheetId="3" hidden="1">2</definedName>
    <definedName name="solver_lin" localSheetId="2" hidden="1">2</definedName>
    <definedName name="solver_lin" localSheetId="5" hidden="1">2</definedName>
    <definedName name="solver_neg" localSheetId="1" hidden="1">2</definedName>
    <definedName name="solver_neg" localSheetId="4" hidden="1">2</definedName>
    <definedName name="solver_neg" localSheetId="3" hidden="1">2</definedName>
    <definedName name="solver_neg" localSheetId="2" hidden="1">2</definedName>
    <definedName name="solver_neg" localSheetId="5" hidden="1">2</definedName>
    <definedName name="solver_num" localSheetId="1" hidden="1">0</definedName>
    <definedName name="solver_num" localSheetId="4" hidden="1">0</definedName>
    <definedName name="solver_num" localSheetId="3" hidden="1">0</definedName>
    <definedName name="solver_num" localSheetId="2" hidden="1">0</definedName>
    <definedName name="solver_num" localSheetId="5" hidden="1">0</definedName>
    <definedName name="solver_nwt" localSheetId="1" hidden="1">1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5" hidden="1">1</definedName>
    <definedName name="solver_opt" localSheetId="1" hidden="1">'calibration'!#REF!</definedName>
    <definedName name="solver_opt" localSheetId="4" hidden="1">'forward'!#REF!</definedName>
    <definedName name="solver_opt" localSheetId="3" hidden="1">'options'!#REF!</definedName>
    <definedName name="solver_opt" localSheetId="2" hidden="1">'stock'!#REF!</definedName>
    <definedName name="solver_opt" localSheetId="5" hidden="1">'summary'!#REF!</definedName>
    <definedName name="solver_pre" localSheetId="1" hidden="1">0.000001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5" hidden="1">0.000001</definedName>
    <definedName name="solver_scl" localSheetId="1" hidden="1">2</definedName>
    <definedName name="solver_scl" localSheetId="4" hidden="1">2</definedName>
    <definedName name="solver_scl" localSheetId="3" hidden="1">2</definedName>
    <definedName name="solver_scl" localSheetId="2" hidden="1">2</definedName>
    <definedName name="solver_scl" localSheetId="5" hidden="1">2</definedName>
    <definedName name="solver_sho" localSheetId="1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5" hidden="1">2</definedName>
    <definedName name="solver_tim" localSheetId="1" hidden="1">100</definedName>
    <definedName name="solver_tim" localSheetId="4" hidden="1">100</definedName>
    <definedName name="solver_tim" localSheetId="3" hidden="1">100</definedName>
    <definedName name="solver_tim" localSheetId="2" hidden="1">100</definedName>
    <definedName name="solver_tim" localSheetId="5" hidden="1">100</definedName>
    <definedName name="solver_tol" localSheetId="1" hidden="1">0.05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ol" localSheetId="5" hidden="1">0.05</definedName>
    <definedName name="solver_typ" localSheetId="1" hidden="1">2</definedName>
    <definedName name="solver_typ" localSheetId="4" hidden="1">2</definedName>
    <definedName name="solver_typ" localSheetId="3" hidden="1">2</definedName>
    <definedName name="solver_typ" localSheetId="2" hidden="1">2</definedName>
    <definedName name="solver_typ" localSheetId="5" hidden="1">2</definedName>
    <definedName name="solver_val" localSheetId="1" hidden="1">0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5" hidden="1">0</definedName>
    <definedName name="U" localSheetId="4">'forward'!$C$5</definedName>
    <definedName name="U" localSheetId="3">'options'!$C$5</definedName>
    <definedName name="U" localSheetId="2">'stock'!$C$5</definedName>
    <definedName name="U" localSheetId="5">'summary'!$C$5</definedName>
    <definedName name="U">'calibration'!$C$5</definedName>
    <definedName name="X">'Data'!$D$19</definedName>
  </definedNames>
  <calcPr fullCalcOnLoad="1" iterate="1" iterateCount="1000" iterateDelta="0.001"/>
</workbook>
</file>

<file path=xl/comments5.xml><?xml version="1.0" encoding="utf-8"?>
<comments xmlns="http://schemas.openxmlformats.org/spreadsheetml/2006/main">
  <authors>
    <author>Marek Capinski</author>
    <author>Marek Capiński</author>
  </authors>
  <commentList>
    <comment ref="E11" authorId="0">
      <text>
        <r>
          <rPr>
            <b/>
            <sz val="8"/>
            <rFont val="Tahoma"/>
            <family val="0"/>
          </rPr>
          <t>deposit is recovered at maturity</t>
        </r>
      </text>
    </comment>
    <comment ref="G6" authorId="1">
      <text>
        <r>
          <rPr>
            <b/>
            <sz val="8"/>
            <rFont val="Tahoma"/>
            <family val="2"/>
          </rPr>
          <t xml:space="preserve">Added interest on deposit: lost opportunity cost
</t>
        </r>
      </text>
    </comment>
  </commentList>
</comments>
</file>

<file path=xl/comments6.xml><?xml version="1.0" encoding="utf-8"?>
<comments xmlns="http://schemas.openxmlformats.org/spreadsheetml/2006/main">
  <authors>
    <author>Marek Capinski</author>
  </authors>
  <commentList>
    <comment ref="H10" authorId="0">
      <text>
        <r>
          <rPr>
            <b/>
            <sz val="8"/>
            <rFont val="Tahoma"/>
            <family val="0"/>
          </rPr>
          <t>Money invested risk-free does not contribute to VaR</t>
        </r>
      </text>
    </comment>
  </commentList>
</comments>
</file>

<file path=xl/sharedStrings.xml><?xml version="1.0" encoding="utf-8"?>
<sst xmlns="http://schemas.openxmlformats.org/spreadsheetml/2006/main" count="147" uniqueCount="88">
  <si>
    <t>"Mathematics for Finance" by M. Capinski and T. Zastawniak</t>
  </si>
  <si>
    <t>Chapter 9: Financial Engineering</t>
  </si>
  <si>
    <t>Case 9.2</t>
  </si>
  <si>
    <t>input data</t>
  </si>
  <si>
    <t>auxiliary data</t>
  </si>
  <si>
    <t>output data</t>
  </si>
  <si>
    <t>dynamic data</t>
  </si>
  <si>
    <t>days in year</t>
  </si>
  <si>
    <t>days to horizon</t>
  </si>
  <si>
    <t>risk free return over horizon</t>
  </si>
  <si>
    <t>d_hor</t>
  </si>
  <si>
    <t>d_year</t>
  </si>
  <si>
    <t>r_f</t>
  </si>
  <si>
    <t>initial wealth</t>
  </si>
  <si>
    <t>I_wealth</t>
  </si>
  <si>
    <t>risk-free rate of return</t>
  </si>
  <si>
    <t>stock expected rate of return</t>
  </si>
  <si>
    <t>k_stock</t>
  </si>
  <si>
    <t>k_stock_hor</t>
  </si>
  <si>
    <t>stock expected rate over horizon</t>
  </si>
  <si>
    <t>S_0</t>
  </si>
  <si>
    <t>initial stock price</t>
  </si>
  <si>
    <t>risk free return daily</t>
  </si>
  <si>
    <t>stock expected rate daily</t>
  </si>
  <si>
    <t>call premium</t>
  </si>
  <si>
    <t>call</t>
  </si>
  <si>
    <t>strike price</t>
  </si>
  <si>
    <t>X</t>
  </si>
  <si>
    <t>U</t>
  </si>
  <si>
    <t>D</t>
  </si>
  <si>
    <t>probability of up movement</t>
  </si>
  <si>
    <t>p</t>
  </si>
  <si>
    <t>expected</t>
  </si>
  <si>
    <t>target</t>
  </si>
  <si>
    <t>error</t>
  </si>
  <si>
    <t>r_f_day</t>
  </si>
  <si>
    <t>r_f_hor</t>
  </si>
  <si>
    <t>k_stock_day</t>
  </si>
  <si>
    <t>p_rn</t>
  </si>
  <si>
    <t>D x E</t>
  </si>
  <si>
    <t>this is computed by means of U to fit the expected return</t>
  </si>
  <si>
    <t>data</t>
  </si>
  <si>
    <t>risk neutral probability</t>
  </si>
  <si>
    <t>from the computations below</t>
  </si>
  <si>
    <t xml:space="preserve">Calibration of the binomial model </t>
  </si>
  <si>
    <t>found to fit the call premium to the data by making error 0</t>
  </si>
  <si>
    <t>risk-neutral probability</t>
  </si>
  <si>
    <t>no of up-movements</t>
  </si>
  <si>
    <t>stock after 20 days</t>
  </si>
  <si>
    <t>compares premiums: computed with given</t>
  </si>
  <si>
    <t>Stock investment</t>
  </si>
  <si>
    <t>rate of return</t>
  </si>
  <si>
    <t>expected  return</t>
  </si>
  <si>
    <t>cumulative probability</t>
  </si>
  <si>
    <t>number of shares</t>
  </si>
  <si>
    <t>computation of variance</t>
  </si>
  <si>
    <t>variance</t>
  </si>
  <si>
    <t>sigma-stock</t>
  </si>
  <si>
    <t>call-payoff discounted</t>
  </si>
  <si>
    <t>market price of risk</t>
  </si>
  <si>
    <t>confidence</t>
  </si>
  <si>
    <t>VaR</t>
  </si>
  <si>
    <t>Expected return</t>
  </si>
  <si>
    <t>Risk - sigma</t>
  </si>
  <si>
    <t>risk-free</t>
  </si>
  <si>
    <t>stock</t>
  </si>
  <si>
    <t>call options</t>
  </si>
  <si>
    <t>forward with deposit</t>
  </si>
  <si>
    <t>Market price of risk</t>
  </si>
  <si>
    <t>in call options</t>
  </si>
  <si>
    <t>risk free</t>
  </si>
  <si>
    <t>Summary: 20-days investment</t>
  </si>
  <si>
    <t>VaR(94,23%)</t>
  </si>
  <si>
    <t>VaR(99,41%)</t>
  </si>
  <si>
    <t>Investment in call options</t>
  </si>
  <si>
    <t>sigma-option</t>
  </si>
  <si>
    <t>call payoff</t>
  </si>
  <si>
    <t>return on call</t>
  </si>
  <si>
    <t>portfolio: call - risk-free</t>
  </si>
  <si>
    <t>forward payoff</t>
  </si>
  <si>
    <t>forward price</t>
  </si>
  <si>
    <t>forward</t>
  </si>
  <si>
    <t>number of contracts</t>
  </si>
  <si>
    <t>return on long forward position</t>
  </si>
  <si>
    <t>deposit on forward contract</t>
  </si>
  <si>
    <t>deposit</t>
  </si>
  <si>
    <t>Investment in forward contract with deposit</t>
  </si>
  <si>
    <t>market probability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</si>
</sst>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%"/>
    <numFmt numFmtId="173" formatCode="0.000%"/>
    <numFmt numFmtId="174" formatCode="0.0000%"/>
    <numFmt numFmtId="175" formatCode="0.00000"/>
    <numFmt numFmtId="176" formatCode="0.0000"/>
    <numFmt numFmtId="177" formatCode="0.000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\ _z_ł_-;\-* #,##0.00000\ _z_ł_-;_-* &quot;-&quot;?????\ _z_ł_-;_-@_-"/>
    <numFmt numFmtId="182" formatCode="0.0"/>
    <numFmt numFmtId="183" formatCode="0.000"/>
    <numFmt numFmtId="184" formatCode="0.000000"/>
    <numFmt numFmtId="185" formatCode="0.0000000"/>
    <numFmt numFmtId="186" formatCode="0.00000000"/>
    <numFmt numFmtId="187" formatCode="0.00000%"/>
    <numFmt numFmtId="188" formatCode="_-* #,##0.0000\ _z_ł_-;\-* #,##0.0000\ _z_ł_-;_-* &quot;-&quot;?????\ _z_ł_-;_-@_-"/>
  </numFmts>
  <fonts count="11">
    <font>
      <sz val="10"/>
      <name val="Arial CE"/>
      <family val="0"/>
    </font>
    <font>
      <b/>
      <sz val="10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sz val="11.5"/>
      <name val="Arial CE"/>
      <family val="0"/>
    </font>
    <font>
      <b/>
      <sz val="10"/>
      <color indexed="17"/>
      <name val="Arial CE"/>
      <family val="2"/>
    </font>
    <font>
      <b/>
      <sz val="8"/>
      <name val="Tahoma"/>
      <family val="0"/>
    </font>
    <font>
      <b/>
      <sz val="10"/>
      <color indexed="49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9" fontId="0" fillId="4" borderId="0" xfId="0" applyNumberFormat="1" applyFill="1" applyAlignment="1">
      <alignment/>
    </xf>
    <xf numFmtId="171" fontId="0" fillId="4" borderId="0" xfId="15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4" fontId="0" fillId="5" borderId="0" xfId="19" applyNumberFormat="1" applyFill="1" applyAlignment="1">
      <alignment/>
    </xf>
    <xf numFmtId="174" fontId="0" fillId="5" borderId="0" xfId="0" applyNumberForma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171" fontId="0" fillId="2" borderId="0" xfId="0" applyNumberFormat="1" applyFill="1" applyBorder="1" applyAlignment="1">
      <alignment/>
    </xf>
    <xf numFmtId="11" fontId="0" fillId="2" borderId="0" xfId="0" applyNumberFormat="1" applyFill="1" applyBorder="1" applyAlignment="1">
      <alignment horizontal="center"/>
    </xf>
    <xf numFmtId="180" fontId="0" fillId="2" borderId="6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71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171" fontId="0" fillId="2" borderId="10" xfId="15" applyFill="1" applyBorder="1" applyAlignment="1">
      <alignment/>
    </xf>
    <xf numFmtId="171" fontId="0" fillId="2" borderId="11" xfId="15" applyFill="1" applyBorder="1" applyAlignment="1">
      <alignment/>
    </xf>
    <xf numFmtId="11" fontId="0" fillId="2" borderId="10" xfId="0" applyNumberFormat="1" applyFill="1" applyBorder="1" applyAlignment="1">
      <alignment horizontal="center"/>
    </xf>
    <xf numFmtId="11" fontId="0" fillId="2" borderId="11" xfId="0" applyNumberFormat="1" applyFill="1" applyBorder="1" applyAlignment="1">
      <alignment horizontal="center"/>
    </xf>
    <xf numFmtId="179" fontId="0" fillId="6" borderId="12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 quotePrefix="1">
      <alignment horizontal="center" vertical="center"/>
    </xf>
    <xf numFmtId="171" fontId="0" fillId="2" borderId="10" xfId="15" applyFill="1" applyBorder="1" applyAlignment="1">
      <alignment/>
    </xf>
    <xf numFmtId="171" fontId="0" fillId="2" borderId="11" xfId="15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79" fontId="0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174" fontId="0" fillId="2" borderId="6" xfId="19" applyNumberFormat="1" applyFill="1" applyBorder="1" applyAlignment="1">
      <alignment horizontal="center"/>
    </xf>
    <xf numFmtId="11" fontId="0" fillId="2" borderId="6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/>
    </xf>
    <xf numFmtId="171" fontId="0" fillId="2" borderId="11" xfId="0" applyNumberFormat="1" applyFill="1" applyBorder="1" applyAlignment="1">
      <alignment/>
    </xf>
    <xf numFmtId="11" fontId="0" fillId="2" borderId="13" xfId="0" applyNumberFormat="1" applyFill="1" applyBorder="1" applyAlignment="1">
      <alignment horizontal="center"/>
    </xf>
    <xf numFmtId="174" fontId="0" fillId="2" borderId="13" xfId="19" applyNumberFormat="1" applyFill="1" applyBorder="1" applyAlignment="1">
      <alignment horizontal="center"/>
    </xf>
    <xf numFmtId="0" fontId="0" fillId="5" borderId="9" xfId="0" applyNumberFormat="1" applyFill="1" applyBorder="1" applyAlignment="1">
      <alignment horizontal="center"/>
    </xf>
    <xf numFmtId="171" fontId="0" fillId="5" borderId="10" xfId="15" applyFill="1" applyBorder="1" applyAlignment="1">
      <alignment/>
    </xf>
    <xf numFmtId="174" fontId="0" fillId="2" borderId="5" xfId="0" applyNumberFormat="1" applyFill="1" applyBorder="1" applyAlignment="1">
      <alignment horizontal="center"/>
    </xf>
    <xf numFmtId="174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6" borderId="10" xfId="0" applyNumberFormat="1" applyFill="1" applyBorder="1" applyAlignment="1">
      <alignment horizontal="center"/>
    </xf>
    <xf numFmtId="171" fontId="0" fillId="6" borderId="11" xfId="0" applyNumberFormat="1" applyFill="1" applyBorder="1" applyAlignment="1">
      <alignment horizontal="center"/>
    </xf>
    <xf numFmtId="173" fontId="0" fillId="2" borderId="14" xfId="19" applyNumberFormat="1" applyFill="1" applyBorder="1" applyAlignment="1">
      <alignment/>
    </xf>
    <xf numFmtId="174" fontId="0" fillId="6" borderId="15" xfId="19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5" borderId="6" xfId="0" applyFill="1" applyBorder="1" applyAlignment="1">
      <alignment/>
    </xf>
    <xf numFmtId="174" fontId="0" fillId="2" borderId="0" xfId="19" applyNumberFormat="1" applyFill="1" applyBorder="1" applyAlignment="1">
      <alignment/>
    </xf>
    <xf numFmtId="174" fontId="0" fillId="6" borderId="6" xfId="19" applyNumberFormat="1" applyFill="1" applyBorder="1" applyAlignment="1">
      <alignment/>
    </xf>
    <xf numFmtId="0" fontId="0" fillId="2" borderId="7" xfId="0" applyFill="1" applyBorder="1" applyAlignment="1">
      <alignment/>
    </xf>
    <xf numFmtId="179" fontId="0" fillId="2" borderId="8" xfId="15" applyNumberFormat="1" applyFill="1" applyBorder="1" applyAlignment="1">
      <alignment horizontal="left"/>
    </xf>
    <xf numFmtId="176" fontId="0" fillId="6" borderId="13" xfId="0" applyNumberFormat="1" applyFill="1" applyBorder="1" applyAlignment="1">
      <alignment/>
    </xf>
    <xf numFmtId="173" fontId="0" fillId="2" borderId="0" xfId="19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1" fontId="0" fillId="2" borderId="0" xfId="15" applyFill="1" applyBorder="1" applyAlignment="1">
      <alignment/>
    </xf>
    <xf numFmtId="174" fontId="0" fillId="2" borderId="0" xfId="19" applyNumberFormat="1" applyFill="1" applyBorder="1" applyAlignment="1">
      <alignment horizontal="center"/>
    </xf>
    <xf numFmtId="174" fontId="0" fillId="2" borderId="0" xfId="19" applyNumberFormat="1" applyFont="1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174" fontId="0" fillId="2" borderId="16" xfId="0" applyNumberFormat="1" applyFill="1" applyBorder="1" applyAlignment="1">
      <alignment horizontal="center"/>
    </xf>
    <xf numFmtId="17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171" fontId="0" fillId="2" borderId="8" xfId="15" applyFill="1" applyBorder="1" applyAlignment="1">
      <alignment/>
    </xf>
    <xf numFmtId="0" fontId="0" fillId="2" borderId="1" xfId="0" applyFill="1" applyBorder="1" applyAlignment="1">
      <alignment/>
    </xf>
    <xf numFmtId="174" fontId="0" fillId="2" borderId="14" xfId="19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ill="1" applyBorder="1" applyAlignment="1">
      <alignment horizontal="center" vertical="center" wrapText="1"/>
    </xf>
    <xf numFmtId="171" fontId="0" fillId="2" borderId="8" xfId="0" applyNumberFormat="1" applyFill="1" applyBorder="1" applyAlignment="1">
      <alignment horizontal="center"/>
    </xf>
    <xf numFmtId="171" fontId="0" fillId="2" borderId="14" xfId="0" applyNumberFormat="1" applyFill="1" applyBorder="1" applyAlignment="1">
      <alignment horizontal="center" vertical="center"/>
    </xf>
    <xf numFmtId="174" fontId="0" fillId="2" borderId="14" xfId="19" applyNumberFormat="1" applyFill="1" applyBorder="1" applyAlignment="1">
      <alignment horizontal="center"/>
    </xf>
    <xf numFmtId="174" fontId="0" fillId="2" borderId="8" xfId="19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4" fontId="0" fillId="6" borderId="6" xfId="19" applyNumberFormat="1" applyFill="1" applyBorder="1" applyAlignment="1">
      <alignment/>
    </xf>
    <xf numFmtId="174" fontId="0" fillId="2" borderId="6" xfId="19" applyNumberFormat="1" applyFill="1" applyBorder="1" applyAlignment="1">
      <alignment horizontal="center"/>
    </xf>
    <xf numFmtId="174" fontId="0" fillId="2" borderId="13" xfId="19" applyNumberFormat="1" applyFill="1" applyBorder="1" applyAlignment="1">
      <alignment horizontal="center"/>
    </xf>
    <xf numFmtId="9" fontId="0" fillId="2" borderId="10" xfId="19" applyFill="1" applyBorder="1" applyAlignment="1">
      <alignment horizontal="center"/>
    </xf>
    <xf numFmtId="174" fontId="7" fillId="2" borderId="9" xfId="0" applyNumberFormat="1" applyFont="1" applyFill="1" applyBorder="1" applyAlignment="1">
      <alignment horizontal="center" vertical="center" wrapText="1"/>
    </xf>
    <xf numFmtId="171" fontId="0" fillId="2" borderId="16" xfId="0" applyNumberFormat="1" applyFill="1" applyBorder="1" applyAlignment="1">
      <alignment horizontal="center" vertical="center"/>
    </xf>
    <xf numFmtId="174" fontId="0" fillId="2" borderId="11" xfId="0" applyNumberFormat="1" applyFill="1" applyBorder="1" applyAlignment="1">
      <alignment horizontal="center"/>
    </xf>
    <xf numFmtId="171" fontId="0" fillId="2" borderId="1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5" borderId="11" xfId="0" applyNumberFormat="1" applyFill="1" applyBorder="1" applyAlignment="1">
      <alignment horizontal="center"/>
    </xf>
    <xf numFmtId="9" fontId="0" fillId="2" borderId="11" xfId="19" applyFill="1" applyBorder="1" applyAlignment="1">
      <alignment horizontal="center"/>
    </xf>
    <xf numFmtId="9" fontId="0" fillId="2" borderId="10" xfId="19" applyFill="1" applyBorder="1" applyAlignment="1">
      <alignment horizontal="center"/>
    </xf>
    <xf numFmtId="183" fontId="0" fillId="5" borderId="0" xfId="0" applyNumberFormat="1" applyFill="1" applyAlignment="1">
      <alignment/>
    </xf>
    <xf numFmtId="171" fontId="0" fillId="5" borderId="0" xfId="0" applyNumberFormat="1" applyFill="1" applyBorder="1" applyAlignment="1">
      <alignment/>
    </xf>
    <xf numFmtId="171" fontId="9" fillId="2" borderId="3" xfId="0" applyNumberFormat="1" applyFont="1" applyFill="1" applyBorder="1" applyAlignment="1">
      <alignment horizontal="center" vertical="center" wrapText="1"/>
    </xf>
    <xf numFmtId="174" fontId="0" fillId="2" borderId="16" xfId="19" applyNumberFormat="1" applyFill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1" fontId="0" fillId="2" borderId="16" xfId="15" applyFill="1" applyBorder="1" applyAlignment="1">
      <alignment/>
    </xf>
    <xf numFmtId="171" fontId="0" fillId="2" borderId="14" xfId="0" applyNumberFormat="1" applyFill="1" applyBorder="1" applyAlignment="1">
      <alignment/>
    </xf>
    <xf numFmtId="9" fontId="0" fillId="2" borderId="16" xfId="19" applyFill="1" applyBorder="1" applyAlignment="1">
      <alignment horizontal="center"/>
    </xf>
    <xf numFmtId="11" fontId="0" fillId="2" borderId="16" xfId="0" applyNumberFormat="1" applyFill="1" applyBorder="1" applyAlignment="1">
      <alignment horizontal="center"/>
    </xf>
    <xf numFmtId="11" fontId="0" fillId="2" borderId="15" xfId="0" applyNumberFormat="1" applyFill="1" applyBorder="1" applyAlignment="1">
      <alignment horizontal="center"/>
    </xf>
    <xf numFmtId="174" fontId="0" fillId="2" borderId="15" xfId="19" applyNumberFormat="1" applyFill="1" applyBorder="1" applyAlignment="1">
      <alignment horizontal="center"/>
    </xf>
    <xf numFmtId="9" fontId="0" fillId="2" borderId="11" xfId="19" applyFill="1" applyBorder="1" applyAlignment="1">
      <alignment horizontal="center"/>
    </xf>
    <xf numFmtId="171" fontId="0" fillId="2" borderId="8" xfId="15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4" fontId="0" fillId="7" borderId="0" xfId="19" applyNumberFormat="1" applyFill="1" applyAlignment="1">
      <alignment horizontal="right"/>
    </xf>
    <xf numFmtId="174" fontId="0" fillId="5" borderId="0" xfId="19" applyNumberFormat="1" applyFill="1" applyAlignment="1">
      <alignment horizontal="right"/>
    </xf>
    <xf numFmtId="174" fontId="0" fillId="4" borderId="0" xfId="19" applyNumberFormat="1" applyFill="1" applyAlignment="1">
      <alignment horizontal="right"/>
    </xf>
    <xf numFmtId="179" fontId="0" fillId="6" borderId="0" xfId="15" applyNumberFormat="1" applyFill="1" applyAlignment="1">
      <alignment horizontal="right"/>
    </xf>
    <xf numFmtId="179" fontId="0" fillId="4" borderId="0" xfId="15" applyNumberFormat="1" applyFill="1" applyAlignment="1">
      <alignment horizontal="right"/>
    </xf>
    <xf numFmtId="188" fontId="0" fillId="2" borderId="0" xfId="0" applyNumberFormat="1" applyFill="1" applyAlignment="1">
      <alignment horizontal="right"/>
    </xf>
    <xf numFmtId="184" fontId="0" fillId="5" borderId="0" xfId="0" applyNumberFormat="1" applyFill="1" applyAlignment="1">
      <alignment horizontal="right"/>
    </xf>
    <xf numFmtId="174" fontId="0" fillId="7" borderId="19" xfId="0" applyNumberFormat="1" applyFill="1" applyBorder="1" applyAlignment="1">
      <alignment/>
    </xf>
    <xf numFmtId="174" fontId="0" fillId="5" borderId="2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risk-free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summary!$D$8:$D$8</c:f>
              <c:numCache/>
            </c:numRef>
          </c:xVal>
          <c:yVal>
            <c:numRef>
              <c:f>summary!$D$7:$D$7</c:f>
              <c:numCache/>
            </c:numRef>
          </c:yVal>
          <c:smooth val="0"/>
        </c:ser>
        <c:ser>
          <c:idx val="1"/>
          <c:order val="1"/>
          <c:tx>
            <c:v>stock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summary!$E$8</c:f>
              <c:numCache/>
            </c:numRef>
          </c:xVal>
          <c:yVal>
            <c:numRef>
              <c:f>summary!$E$7</c:f>
              <c:numCache/>
            </c:numRef>
          </c:yVal>
          <c:smooth val="0"/>
        </c:ser>
        <c:ser>
          <c:idx val="2"/>
          <c:order val="2"/>
          <c:tx>
            <c:v>options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summary!$F$8</c:f>
              <c:numCache/>
            </c:numRef>
          </c:xVal>
          <c:yVal>
            <c:numRef>
              <c:f>summary!$F$7</c:f>
              <c:numCache/>
            </c:numRef>
          </c:yVal>
          <c:smooth val="0"/>
        </c:ser>
        <c:ser>
          <c:idx val="3"/>
          <c:order val="3"/>
          <c:tx>
            <c:v>forward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summary!$G$8</c:f>
              <c:numCache/>
            </c:numRef>
          </c:xVal>
          <c:yVal>
            <c:numRef>
              <c:f>summary!$G$7</c:f>
              <c:numCache/>
            </c:numRef>
          </c:yVal>
          <c:smooth val="0"/>
        </c:ser>
        <c:ser>
          <c:idx val="4"/>
          <c:order val="4"/>
          <c:tx>
            <c:v>portfolio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summary!$H$8</c:f>
              <c:numCache/>
            </c:numRef>
          </c:xVal>
          <c:yVal>
            <c:numRef>
              <c:f>summary!$H$7</c:f>
              <c:numCache/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crossBetween val="midCat"/>
        <c:dispUnits/>
      </c:valAx>
      <c:valAx>
        <c:axId val="46793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104775</xdr:rowOff>
    </xdr:from>
    <xdr:to>
      <xdr:col>8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09550" y="2066925"/>
        <a:ext cx="6781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12</xdr:row>
      <xdr:rowOff>57150</xdr:rowOff>
    </xdr:from>
    <xdr:to>
      <xdr:col>6</xdr:col>
      <xdr:colOff>714375</xdr:colOff>
      <xdr:row>31</xdr:row>
      <xdr:rowOff>76200</xdr:rowOff>
    </xdr:to>
    <xdr:sp>
      <xdr:nvSpPr>
        <xdr:cNvPr id="2" name="Line 6"/>
        <xdr:cNvSpPr>
          <a:spLocks/>
        </xdr:cNvSpPr>
      </xdr:nvSpPr>
      <xdr:spPr>
        <a:xfrm flipV="1">
          <a:off x="685800" y="2181225"/>
          <a:ext cx="449580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selection activeCell="F24" sqref="F24"/>
    </sheetView>
  </sheetViews>
  <sheetFormatPr defaultColWidth="9.00390625" defaultRowHeight="12.75"/>
  <cols>
    <col min="1" max="1" width="2.375" style="2" customWidth="1"/>
    <col min="2" max="2" width="27.875" style="2" customWidth="1"/>
    <col min="3" max="3" width="12.00390625" style="2" bestFit="1" customWidth="1"/>
    <col min="4" max="4" width="12.25390625" style="2" bestFit="1" customWidth="1"/>
    <col min="5" max="5" width="6.00390625" style="2" customWidth="1"/>
    <col min="6" max="6" width="12.00390625" style="2" bestFit="1" customWidth="1"/>
    <col min="7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="1" customFormat="1" ht="12.75">
      <c r="B3" s="1" t="s">
        <v>2</v>
      </c>
    </row>
    <row r="5" spans="2:6" ht="12.75">
      <c r="B5" t="s">
        <v>15</v>
      </c>
      <c r="C5" s="2" t="s">
        <v>12</v>
      </c>
      <c r="D5" s="8">
        <v>0.12</v>
      </c>
      <c r="F5" s="4" t="s">
        <v>3</v>
      </c>
    </row>
    <row r="6" spans="2:6" ht="12.75">
      <c r="B6" s="2" t="s">
        <v>7</v>
      </c>
      <c r="C6" s="2" t="s">
        <v>11</v>
      </c>
      <c r="D6" s="4">
        <v>360</v>
      </c>
      <c r="F6" s="5" t="s">
        <v>4</v>
      </c>
    </row>
    <row r="7" spans="2:6" ht="12.75">
      <c r="B7" s="2" t="s">
        <v>8</v>
      </c>
      <c r="C7" s="2" t="s">
        <v>10</v>
      </c>
      <c r="D7" s="4">
        <v>20</v>
      </c>
      <c r="F7" s="6" t="s">
        <v>5</v>
      </c>
    </row>
    <row r="8" spans="2:4" ht="12.75">
      <c r="B8" s="2" t="s">
        <v>22</v>
      </c>
      <c r="C8" s="2" t="s">
        <v>35</v>
      </c>
      <c r="D8" s="12">
        <f>(1+r_f)^(1/d_year)-1</f>
        <v>0.00031485145894971645</v>
      </c>
    </row>
    <row r="9" spans="2:4" ht="12.75">
      <c r="B9" s="2" t="s">
        <v>9</v>
      </c>
      <c r="C9" s="2" t="s">
        <v>36</v>
      </c>
      <c r="D9" s="12">
        <f>(1+r_f_day)^d_hor-1</f>
        <v>0.006315899781798029</v>
      </c>
    </row>
    <row r="11" spans="2:4" ht="12.75">
      <c r="B11" s="2" t="s">
        <v>13</v>
      </c>
      <c r="C11" s="2" t="s">
        <v>14</v>
      </c>
      <c r="D11" s="9">
        <v>15000</v>
      </c>
    </row>
    <row r="13" spans="2:4" ht="12.75">
      <c r="B13" s="2" t="s">
        <v>16</v>
      </c>
      <c r="C13" s="2" t="s">
        <v>17</v>
      </c>
      <c r="D13" s="8">
        <v>0.31</v>
      </c>
    </row>
    <row r="14" spans="2:4" ht="12.75">
      <c r="B14" s="2" t="s">
        <v>23</v>
      </c>
      <c r="C14" s="2" t="s">
        <v>37</v>
      </c>
      <c r="D14" s="13">
        <f>(1+k_stock)^(1/d_year)-1</f>
        <v>0.0007503567580329218</v>
      </c>
    </row>
    <row r="15" spans="2:4" ht="12.75">
      <c r="B15" s="2" t="s">
        <v>19</v>
      </c>
      <c r="C15" s="2" t="s">
        <v>18</v>
      </c>
      <c r="D15" s="12">
        <f>(1+k_stock_day)^d_hor-1</f>
        <v>0.0151145950246232</v>
      </c>
    </row>
    <row r="16" ht="12.75">
      <c r="D16" s="10"/>
    </row>
    <row r="17" spans="2:4" ht="12.75">
      <c r="B17" s="2" t="s">
        <v>21</v>
      </c>
      <c r="C17" s="2" t="s">
        <v>20</v>
      </c>
      <c r="D17" s="4">
        <v>60</v>
      </c>
    </row>
    <row r="18" spans="2:4" ht="12.75">
      <c r="B18" s="2" t="s">
        <v>24</v>
      </c>
      <c r="C18" s="2" t="s">
        <v>25</v>
      </c>
      <c r="D18" s="4">
        <v>2.112</v>
      </c>
    </row>
    <row r="19" spans="2:4" ht="12.75">
      <c r="B19" s="2" t="s">
        <v>26</v>
      </c>
      <c r="C19" s="2" t="s">
        <v>27</v>
      </c>
      <c r="D19" s="4">
        <v>60</v>
      </c>
    </row>
    <row r="20" spans="2:4" ht="12.75">
      <c r="B20" s="2" t="s">
        <v>80</v>
      </c>
      <c r="C20" s="2" t="s">
        <v>81</v>
      </c>
      <c r="D20" s="101">
        <f>S_0*(1+r_f_hor)</f>
        <v>60.37895398690788</v>
      </c>
    </row>
    <row r="21" spans="2:4" ht="12.75">
      <c r="B21" s="2" t="s">
        <v>84</v>
      </c>
      <c r="C21" s="2" t="s">
        <v>85</v>
      </c>
      <c r="D21" s="4">
        <v>12</v>
      </c>
    </row>
    <row r="23" spans="2:4" ht="12.75">
      <c r="B23" s="2" t="s">
        <v>30</v>
      </c>
      <c r="C23" s="2" t="s">
        <v>31</v>
      </c>
      <c r="D23" s="4"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H11" sqref="H1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0.75390625" style="2" bestFit="1" customWidth="1"/>
    <col min="7" max="7" width="12.125" style="2" bestFit="1" customWidth="1"/>
    <col min="8" max="8" width="9.125" style="2" customWidth="1"/>
    <col min="9" max="9" width="12.125" style="2" bestFit="1" customWidth="1"/>
    <col min="10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5" s="1" customFormat="1" ht="12.75">
      <c r="B3" s="1" t="s">
        <v>2</v>
      </c>
      <c r="C3" s="14" t="s">
        <v>44</v>
      </c>
      <c r="D3" s="15"/>
      <c r="E3" s="16"/>
    </row>
    <row r="5" spans="2:9" ht="12.75">
      <c r="B5" s="2" t="s">
        <v>28</v>
      </c>
      <c r="C5" s="120">
        <v>0.018571</v>
      </c>
      <c r="D5" s="11" t="s">
        <v>45</v>
      </c>
      <c r="I5" s="4" t="s">
        <v>3</v>
      </c>
    </row>
    <row r="6" spans="2:9" ht="12.75">
      <c r="B6" s="2" t="s">
        <v>29</v>
      </c>
      <c r="C6" s="121">
        <f>(C7-Data!p*U)/(1-Data!p)</f>
        <v>-0.017070286483934157</v>
      </c>
      <c r="D6" s="2" t="s">
        <v>40</v>
      </c>
      <c r="I6" s="5" t="s">
        <v>4</v>
      </c>
    </row>
    <row r="7" spans="2:9" ht="12.75">
      <c r="B7" s="2" t="s">
        <v>32</v>
      </c>
      <c r="C7" s="122">
        <f>k_stock_day</f>
        <v>0.0007503567580329218</v>
      </c>
      <c r="D7" s="2" t="s">
        <v>41</v>
      </c>
      <c r="I7" s="6" t="s">
        <v>5</v>
      </c>
    </row>
    <row r="8" spans="2:9" ht="12.75">
      <c r="B8" s="2" t="s">
        <v>24</v>
      </c>
      <c r="C8" s="123">
        <f>SUM(F14:F34)</f>
        <v>2.111957639856196</v>
      </c>
      <c r="D8" s="2" t="s">
        <v>43</v>
      </c>
      <c r="I8" s="7" t="s">
        <v>6</v>
      </c>
    </row>
    <row r="9" spans="2:4" ht="12.75">
      <c r="B9" s="2" t="s">
        <v>33</v>
      </c>
      <c r="C9" s="124">
        <f>Data!D18</f>
        <v>2.112</v>
      </c>
      <c r="D9" s="2" t="s">
        <v>41</v>
      </c>
    </row>
    <row r="10" spans="2:4" ht="12.75">
      <c r="B10" s="2" t="s">
        <v>34</v>
      </c>
      <c r="C10" s="125">
        <f>C8-C9</f>
        <v>-4.236014380420983E-05</v>
      </c>
      <c r="D10" s="2" t="s">
        <v>49</v>
      </c>
    </row>
    <row r="11" spans="2:4" ht="12.75">
      <c r="B11" s="2" t="s">
        <v>38</v>
      </c>
      <c r="C11" s="126">
        <f>(r_f_day-D)/(U-D)</f>
        <v>0.48778087599953734</v>
      </c>
      <c r="D11" s="2" t="s">
        <v>42</v>
      </c>
    </row>
    <row r="13" spans="2:6" ht="25.5">
      <c r="B13" s="31" t="s">
        <v>47</v>
      </c>
      <c r="C13" s="32" t="s">
        <v>48</v>
      </c>
      <c r="D13" s="32" t="s">
        <v>58</v>
      </c>
      <c r="E13" s="32" t="s">
        <v>46</v>
      </c>
      <c r="F13" s="33" t="s">
        <v>39</v>
      </c>
    </row>
    <row r="14" spans="2:6" ht="12.75">
      <c r="B14" s="18">
        <v>20</v>
      </c>
      <c r="C14" s="26">
        <f>S_0*(1+U)^B14*(1+D)^(20-B14)</f>
        <v>86.69167465981542</v>
      </c>
      <c r="D14" s="42">
        <f>MAX(C14-X,0)/(1+r_f_hor)</f>
        <v>26.524150781681023</v>
      </c>
      <c r="E14" s="28">
        <f>BINOMDIST(B14,20,p_rn,0)</f>
        <v>5.81427255266746E-07</v>
      </c>
      <c r="F14" s="21">
        <f>D14*E14</f>
        <v>1.5421864187274113E-05</v>
      </c>
    </row>
    <row r="15" spans="2:6" ht="12.75">
      <c r="B15" s="18">
        <v>19</v>
      </c>
      <c r="C15" s="26">
        <f aca="true" t="shared" si="0" ref="C15:C34">S_0*(1+U)^B15*(1+D)^(20-B15)</f>
        <v>83.65820638679126</v>
      </c>
      <c r="D15" s="42">
        <f aca="true" t="shared" si="1" ref="D15:D34">MAX(C15-X,0)/(1+r_f_hor)</f>
        <v>23.509721342891563</v>
      </c>
      <c r="E15" s="28">
        <f aca="true" t="shared" si="2" ref="E15:E34">BINOMDIST(B15,20,p_rn,0)</f>
        <v>1.2211145373522548E-05</v>
      </c>
      <c r="F15" s="21">
        <f aca="true" t="shared" si="3" ref="F15:F34">D15*E15</f>
        <v>0.0002870806250090546</v>
      </c>
    </row>
    <row r="16" spans="2:6" ht="12.75">
      <c r="B16" s="18">
        <v>18</v>
      </c>
      <c r="C16" s="26">
        <f t="shared" si="0"/>
        <v>80.73088359774296</v>
      </c>
      <c r="D16" s="42">
        <f t="shared" si="1"/>
        <v>20.600771191469885</v>
      </c>
      <c r="E16" s="28">
        <f t="shared" si="2"/>
        <v>0.00012181787702887008</v>
      </c>
      <c r="F16" s="21">
        <f t="shared" si="3"/>
        <v>0.002509542211702368</v>
      </c>
    </row>
    <row r="17" spans="2:6" ht="12.75">
      <c r="B17" s="18">
        <v>17</v>
      </c>
      <c r="C17" s="26">
        <f t="shared" si="0"/>
        <v>77.90599210720546</v>
      </c>
      <c r="D17" s="42">
        <f t="shared" si="1"/>
        <v>17.79360945314296</v>
      </c>
      <c r="E17" s="28">
        <f t="shared" si="2"/>
        <v>0.0007675263545106655</v>
      </c>
      <c r="F17" s="21">
        <f t="shared" si="3"/>
        <v>0.013657064197157332</v>
      </c>
    </row>
    <row r="18" spans="2:6" ht="12.75">
      <c r="B18" s="18">
        <v>16</v>
      </c>
      <c r="C18" s="26">
        <f t="shared" si="0"/>
        <v>75.17994769448605</v>
      </c>
      <c r="D18" s="42">
        <f t="shared" si="1"/>
        <v>15.084674402717429</v>
      </c>
      <c r="E18" s="28">
        <f t="shared" si="2"/>
        <v>0.0034254154052959424</v>
      </c>
      <c r="F18" s="21">
        <f t="shared" si="3"/>
        <v>0.05167127608294165</v>
      </c>
    </row>
    <row r="19" spans="2:6" ht="12.75">
      <c r="B19" s="18">
        <v>15</v>
      </c>
      <c r="C19" s="26">
        <f t="shared" si="0"/>
        <v>72.54929155600739</v>
      </c>
      <c r="D19" s="42">
        <f t="shared" si="1"/>
        <v>12.470528944964979</v>
      </c>
      <c r="E19" s="28">
        <f t="shared" si="2"/>
        <v>0.011510501470271104</v>
      </c>
      <c r="F19" s="21">
        <f t="shared" si="3"/>
        <v>0.14354204175607777</v>
      </c>
    </row>
    <row r="20" spans="2:6" ht="12.75">
      <c r="B20" s="18">
        <v>14</v>
      </c>
      <c r="C20" s="26">
        <f t="shared" si="0"/>
        <v>70.01068591677937</v>
      </c>
      <c r="D20" s="42">
        <f t="shared" si="1"/>
        <v>9.947856253637658</v>
      </c>
      <c r="E20" s="28">
        <f t="shared" si="2"/>
        <v>0.030217969123055088</v>
      </c>
      <c r="F20" s="21">
        <f t="shared" si="3"/>
        <v>0.3006040131130132</v>
      </c>
    </row>
    <row r="21" spans="2:6" ht="12.75">
      <c r="B21" s="18">
        <v>13</v>
      </c>
      <c r="C21" s="26">
        <f t="shared" si="0"/>
        <v>67.56090979543225</v>
      </c>
      <c r="D21" s="42">
        <f t="shared" si="1"/>
        <v>7.513455563080841</v>
      </c>
      <c r="E21" s="28">
        <f t="shared" si="2"/>
        <v>0.06346383154758602</v>
      </c>
      <c r="F21" s="21">
        <f t="shared" si="3"/>
        <v>0.4768326781956355</v>
      </c>
    </row>
    <row r="22" spans="2:6" ht="12.75">
      <c r="B22" s="18">
        <v>12</v>
      </c>
      <c r="C22" s="26">
        <f t="shared" si="0"/>
        <v>65.19685491743726</v>
      </c>
      <c r="D22" s="42">
        <f t="shared" si="1"/>
        <v>5.164238107103456</v>
      </c>
      <c r="E22" s="28">
        <f t="shared" si="2"/>
        <v>0.10829556554140815</v>
      </c>
      <c r="F22" s="21">
        <f t="shared" si="3"/>
        <v>0.5592640863992598</v>
      </c>
    </row>
    <row r="23" spans="2:6" ht="12.75">
      <c r="B23" s="18">
        <v>11</v>
      </c>
      <c r="C23" s="26">
        <f t="shared" si="0"/>
        <v>62.91552177132976</v>
      </c>
      <c r="D23" s="42">
        <f t="shared" si="1"/>
        <v>2.897223199953352</v>
      </c>
      <c r="E23" s="28">
        <f t="shared" si="2"/>
        <v>0.15162835730582522</v>
      </c>
      <c r="F23" s="21">
        <f t="shared" si="3"/>
        <v>0.43930119455725314</v>
      </c>
    </row>
    <row r="24" spans="2:6" ht="12.75">
      <c r="B24" s="18">
        <v>10</v>
      </c>
      <c r="C24" s="26">
        <f t="shared" si="0"/>
        <v>60.71401580293074</v>
      </c>
      <c r="D24" s="42">
        <f t="shared" si="1"/>
        <v>0.7095344544248585</v>
      </c>
      <c r="E24" s="28">
        <f t="shared" si="2"/>
        <v>0.17514757751220625</v>
      </c>
      <c r="F24" s="21">
        <f t="shared" si="3"/>
        <v>0.12427324085395888</v>
      </c>
    </row>
    <row r="25" spans="2:6" ht="12.75">
      <c r="B25" s="18">
        <v>9</v>
      </c>
      <c r="C25" s="26">
        <f t="shared" si="0"/>
        <v>58.589543742738236</v>
      </c>
      <c r="D25" s="42">
        <f t="shared" si="1"/>
        <v>0</v>
      </c>
      <c r="E25" s="28">
        <f t="shared" si="2"/>
        <v>0.16720238559106718</v>
      </c>
      <c r="F25" s="22">
        <f t="shared" si="3"/>
        <v>0</v>
      </c>
    </row>
    <row r="26" spans="2:6" ht="12.75">
      <c r="B26" s="18">
        <v>8</v>
      </c>
      <c r="C26" s="26">
        <f t="shared" si="0"/>
        <v>56.539410061828484</v>
      </c>
      <c r="D26" s="42">
        <f t="shared" si="1"/>
        <v>0</v>
      </c>
      <c r="E26" s="28">
        <f t="shared" si="2"/>
        <v>0.1316845283797965</v>
      </c>
      <c r="F26" s="22">
        <f t="shared" si="3"/>
        <v>0</v>
      </c>
    </row>
    <row r="27" spans="2:6" ht="12.75">
      <c r="B27" s="18">
        <v>7</v>
      </c>
      <c r="C27" s="26">
        <f t="shared" si="0"/>
        <v>54.56101355177052</v>
      </c>
      <c r="D27" s="42">
        <f t="shared" si="1"/>
        <v>0</v>
      </c>
      <c r="E27" s="28">
        <f t="shared" si="2"/>
        <v>0.08509663894645035</v>
      </c>
      <c r="F27" s="22">
        <f t="shared" si="3"/>
        <v>0</v>
      </c>
    </row>
    <row r="28" spans="2:6" ht="12.75">
      <c r="B28" s="18">
        <v>6</v>
      </c>
      <c r="C28" s="26">
        <f t="shared" si="0"/>
        <v>52.6518440242143</v>
      </c>
      <c r="D28" s="42">
        <f t="shared" si="1"/>
        <v>0</v>
      </c>
      <c r="E28" s="28">
        <f t="shared" si="2"/>
        <v>0.044680027447996776</v>
      </c>
      <c r="F28" s="22">
        <f t="shared" si="3"/>
        <v>0</v>
      </c>
    </row>
    <row r="29" spans="2:6" ht="12.75">
      <c r="B29" s="18">
        <v>5</v>
      </c>
      <c r="C29" s="26">
        <f t="shared" si="0"/>
        <v>50.80947912596526</v>
      </c>
      <c r="D29" s="42">
        <f t="shared" si="1"/>
        <v>0</v>
      </c>
      <c r="E29" s="28">
        <f t="shared" si="2"/>
        <v>0.018767414341804747</v>
      </c>
      <c r="F29" s="22">
        <f t="shared" si="3"/>
        <v>0</v>
      </c>
    </row>
    <row r="30" spans="2:6" ht="12.75">
      <c r="B30" s="18">
        <v>4</v>
      </c>
      <c r="C30" s="26">
        <f t="shared" si="0"/>
        <v>49.031581265503895</v>
      </c>
      <c r="D30" s="42">
        <f t="shared" si="1"/>
        <v>0</v>
      </c>
      <c r="E30" s="28">
        <f t="shared" si="2"/>
        <v>0.0061586494359624055</v>
      </c>
      <c r="F30" s="22">
        <f t="shared" si="3"/>
        <v>0</v>
      </c>
    </row>
    <row r="31" spans="2:6" ht="12.75">
      <c r="B31" s="18">
        <v>3</v>
      </c>
      <c r="C31" s="26">
        <f t="shared" si="0"/>
        <v>47.31589464705106</v>
      </c>
      <c r="D31" s="42">
        <f t="shared" si="1"/>
        <v>0</v>
      </c>
      <c r="E31" s="28">
        <f t="shared" si="2"/>
        <v>0.0015216948594702238</v>
      </c>
      <c r="F31" s="22">
        <f t="shared" si="3"/>
        <v>0</v>
      </c>
    </row>
    <row r="32" spans="2:6" ht="12.75">
      <c r="B32" s="18">
        <v>2</v>
      </c>
      <c r="C32" s="26">
        <f t="shared" si="0"/>
        <v>45.66024240841557</v>
      </c>
      <c r="D32" s="42">
        <f t="shared" si="1"/>
        <v>0</v>
      </c>
      <c r="E32" s="28">
        <f t="shared" si="2"/>
        <v>0.0002663221835407994</v>
      </c>
      <c r="F32" s="22">
        <f t="shared" si="3"/>
        <v>0</v>
      </c>
    </row>
    <row r="33" spans="2:6" ht="12.75">
      <c r="B33" s="18">
        <v>1</v>
      </c>
      <c r="C33" s="26">
        <f t="shared" si="0"/>
        <v>44.0625238589927</v>
      </c>
      <c r="D33" s="42">
        <f t="shared" si="1"/>
        <v>0</v>
      </c>
      <c r="E33" s="28">
        <f t="shared" si="2"/>
        <v>2.9438437640914504E-05</v>
      </c>
      <c r="F33" s="22">
        <f t="shared" si="3"/>
        <v>0</v>
      </c>
    </row>
    <row r="34" spans="2:6" ht="13.5" thickBot="1">
      <c r="B34" s="23">
        <v>0</v>
      </c>
      <c r="C34" s="27">
        <f t="shared" si="0"/>
        <v>42.52071181440912</v>
      </c>
      <c r="D34" s="43">
        <f t="shared" si="1"/>
        <v>0</v>
      </c>
      <c r="E34" s="29">
        <f t="shared" si="2"/>
        <v>1.5456664541708846E-06</v>
      </c>
      <c r="F34" s="22">
        <f t="shared" si="3"/>
        <v>0</v>
      </c>
    </row>
    <row r="35" ht="13.5" thickBot="1">
      <c r="F35" s="30">
        <f>SUM(F14:F34)</f>
        <v>2.111957639856196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E10" sqref="E10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2.125" style="2" customWidth="1"/>
    <col min="7" max="7" width="11.25390625" style="2" bestFit="1" customWidth="1"/>
    <col min="8" max="8" width="12.125" style="2" bestFit="1" customWidth="1"/>
    <col min="9" max="9" width="9.125" style="2" customWidth="1"/>
    <col min="10" max="10" width="12.125" style="2" bestFit="1" customWidth="1"/>
    <col min="11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6" s="1" customFormat="1" ht="12.75">
      <c r="B3" s="1" t="s">
        <v>2</v>
      </c>
      <c r="C3" s="14" t="s">
        <v>50</v>
      </c>
      <c r="D3" s="16"/>
      <c r="E3" s="36"/>
      <c r="F3" s="36"/>
    </row>
    <row r="5" spans="2:10" ht="12.75">
      <c r="B5" s="17" t="s">
        <v>52</v>
      </c>
      <c r="C5" s="53"/>
      <c r="D5" s="54">
        <f>k_stock_hor</f>
        <v>0.0151145950246232</v>
      </c>
      <c r="F5" s="50" t="s">
        <v>60</v>
      </c>
      <c r="G5" s="25" t="s">
        <v>61</v>
      </c>
      <c r="J5" s="4" t="s">
        <v>3</v>
      </c>
    </row>
    <row r="6" spans="2:10" ht="12.75">
      <c r="B6" s="55" t="s">
        <v>54</v>
      </c>
      <c r="C6" s="56"/>
      <c r="D6" s="57">
        <f>I_wealth/S_0</f>
        <v>250</v>
      </c>
      <c r="F6" s="48">
        <f>H25</f>
        <v>0.9423408508300781</v>
      </c>
      <c r="G6" s="51">
        <f>I_wealth*(1+r_f_hor)-$D$6*$C$25</f>
        <v>1931.7774906733957</v>
      </c>
      <c r="J6" s="5" t="s">
        <v>4</v>
      </c>
    </row>
    <row r="7" spans="2:10" ht="12.75">
      <c r="B7" s="55" t="s">
        <v>57</v>
      </c>
      <c r="C7" s="58"/>
      <c r="D7" s="59">
        <f>F32^0.5</f>
        <v>0.08096216164917633</v>
      </c>
      <c r="F7" s="49">
        <f>H27</f>
        <v>0.9940910339355469</v>
      </c>
      <c r="G7" s="52">
        <f>I_wealth*(1+r_f_hor)-$D$6*$C$27</f>
        <v>2836.8431803509957</v>
      </c>
      <c r="J7" s="6" t="s">
        <v>5</v>
      </c>
    </row>
    <row r="8" spans="2:10" ht="12.75">
      <c r="B8" s="60" t="s">
        <v>59</v>
      </c>
      <c r="C8" s="61"/>
      <c r="D8" s="62">
        <f>(D5-r_f_hor)/stock!D7</f>
        <v>0.10867663441289412</v>
      </c>
      <c r="J8" s="7" t="s">
        <v>6</v>
      </c>
    </row>
    <row r="10" spans="2:7" ht="25.5">
      <c r="B10" s="31" t="s">
        <v>47</v>
      </c>
      <c r="C10" s="32" t="s">
        <v>48</v>
      </c>
      <c r="D10" s="37" t="s">
        <v>51</v>
      </c>
      <c r="E10" s="32" t="s">
        <v>87</v>
      </c>
      <c r="F10" s="39" t="s">
        <v>55</v>
      </c>
      <c r="G10" s="39" t="s">
        <v>53</v>
      </c>
    </row>
    <row r="11" spans="2:7" ht="12.75">
      <c r="B11" s="18">
        <v>20</v>
      </c>
      <c r="C11" s="34">
        <f>calibration!C14</f>
        <v>86.69167465981542</v>
      </c>
      <c r="D11" s="19">
        <f>(C11-S_0)/S_0</f>
        <v>0.444861244330257</v>
      </c>
      <c r="E11" s="28">
        <f>BINOMDIST(B11,20,Data!p,0)</f>
        <v>9.5367431640625E-07</v>
      </c>
      <c r="F11" s="41">
        <f>E11*(D11-$D$5)^2</f>
        <v>1.7612665423337877E-07</v>
      </c>
      <c r="G11" s="40">
        <f>SUM(E11:$E$31)</f>
        <v>1.0000000000000004</v>
      </c>
    </row>
    <row r="12" spans="2:7" ht="12.75">
      <c r="B12" s="18">
        <v>19</v>
      </c>
      <c r="C12" s="34">
        <f>calibration!C15</f>
        <v>83.65820638679126</v>
      </c>
      <c r="D12" s="19">
        <f aca="true" t="shared" si="0" ref="D12:D31">(C12-S_0)/S_0</f>
        <v>0.3943034397798544</v>
      </c>
      <c r="E12" s="28">
        <f>BINOMDIST(B12,20,Data!p,0)</f>
        <v>1.9073486328125E-05</v>
      </c>
      <c r="F12" s="41">
        <f aca="true" t="shared" si="1" ref="F12:F31">E12*(D12-$D$5)^2</f>
        <v>2.742465591179024E-06</v>
      </c>
      <c r="G12" s="40">
        <f>SUM(E12:$E$31)</f>
        <v>0.999999046325684</v>
      </c>
    </row>
    <row r="13" spans="2:7" ht="12.75">
      <c r="B13" s="18">
        <v>18</v>
      </c>
      <c r="C13" s="34">
        <f>calibration!C16</f>
        <v>80.73088359774296</v>
      </c>
      <c r="D13" s="19">
        <f t="shared" si="0"/>
        <v>0.3455147266290493</v>
      </c>
      <c r="E13" s="28">
        <f>BINOMDIST(B13,20,Data!p,0)</f>
        <v>0.00018119812011718753</v>
      </c>
      <c r="F13" s="41">
        <f t="shared" si="1"/>
        <v>1.978035633392544E-05</v>
      </c>
      <c r="G13" s="40">
        <f>SUM(E13:$E$31)</f>
        <v>0.9999799728393559</v>
      </c>
    </row>
    <row r="14" spans="2:7" ht="12.75">
      <c r="B14" s="18">
        <v>17</v>
      </c>
      <c r="C14" s="34">
        <f>calibration!C17</f>
        <v>77.90599210720546</v>
      </c>
      <c r="D14" s="19">
        <f t="shared" si="0"/>
        <v>0.29843320178675775</v>
      </c>
      <c r="E14" s="28">
        <f>BINOMDIST(B14,20,Data!p,0)</f>
        <v>0.0010871887207031254</v>
      </c>
      <c r="F14" s="41">
        <f t="shared" si="1"/>
        <v>8.726802210703493E-05</v>
      </c>
      <c r="G14" s="40">
        <f>SUM(E14:$E$31)</f>
        <v>0.9997987747192387</v>
      </c>
    </row>
    <row r="15" spans="2:7" ht="12.75">
      <c r="B15" s="18">
        <v>16</v>
      </c>
      <c r="C15" s="34">
        <f>calibration!C18</f>
        <v>75.17994769448605</v>
      </c>
      <c r="D15" s="19">
        <f t="shared" si="0"/>
        <v>0.2529991282414341</v>
      </c>
      <c r="E15" s="28">
        <f>BINOMDIST(B15,20,Data!p,0)</f>
        <v>0.004620552062988283</v>
      </c>
      <c r="F15" s="41">
        <f t="shared" si="1"/>
        <v>0.0002614726570049422</v>
      </c>
      <c r="G15" s="40">
        <f>SUM(E15:$E$31)</f>
        <v>0.9987115859985356</v>
      </c>
    </row>
    <row r="16" spans="2:7" ht="12.75">
      <c r="B16" s="18">
        <v>15</v>
      </c>
      <c r="C16" s="34">
        <f>calibration!C19</f>
        <v>72.54929155600739</v>
      </c>
      <c r="D16" s="19">
        <f t="shared" si="0"/>
        <v>0.20915485926678984</v>
      </c>
      <c r="E16" s="28">
        <f>BINOMDIST(B16,20,Data!p,0)</f>
        <v>0.014785766601562505</v>
      </c>
      <c r="F16" s="41">
        <f t="shared" si="1"/>
        <v>0.0005567081268098084</v>
      </c>
      <c r="G16" s="40">
        <f>SUM(E16:$E$31)</f>
        <v>0.9940910339355473</v>
      </c>
    </row>
    <row r="17" spans="2:7" ht="12.75">
      <c r="B17" s="18">
        <v>14</v>
      </c>
      <c r="C17" s="34">
        <f>calibration!C20</f>
        <v>70.01068591677937</v>
      </c>
      <c r="D17" s="19">
        <f t="shared" si="0"/>
        <v>0.1668447652796561</v>
      </c>
      <c r="E17" s="28">
        <f>BINOMDIST(B17,20,Data!p,0)</f>
        <v>0.03696441650390628</v>
      </c>
      <c r="F17" s="41">
        <f t="shared" si="1"/>
        <v>0.0008509964440951168</v>
      </c>
      <c r="G17" s="40">
        <f>SUM(E17:$E$31)</f>
        <v>0.9793052673339848</v>
      </c>
    </row>
    <row r="18" spans="2:7" ht="12.75">
      <c r="B18" s="18">
        <v>13</v>
      </c>
      <c r="C18" s="34">
        <f>calibration!C21</f>
        <v>67.56090979543225</v>
      </c>
      <c r="D18" s="19">
        <f t="shared" si="0"/>
        <v>0.12601516325720422</v>
      </c>
      <c r="E18" s="28">
        <f>BINOMDIST(B18,20,Data!p,0)</f>
        <v>0.07392883300781257</v>
      </c>
      <c r="F18" s="41">
        <f t="shared" si="1"/>
        <v>0.000909245988254225</v>
      </c>
      <c r="G18" s="40">
        <f>SUM(E18:$E$31)</f>
        <v>0.9423408508300786</v>
      </c>
    </row>
    <row r="19" spans="2:7" ht="12.75">
      <c r="B19" s="18">
        <v>12</v>
      </c>
      <c r="C19" s="34">
        <f>calibration!C22</f>
        <v>65.19685491743726</v>
      </c>
      <c r="D19" s="19">
        <f t="shared" si="0"/>
        <v>0.0866142486239544</v>
      </c>
      <c r="E19" s="28">
        <f>BINOMDIST(B19,20,Data!p,0)</f>
        <v>0.12013435363769544</v>
      </c>
      <c r="F19" s="41">
        <f t="shared" si="1"/>
        <v>0.0006141508985080001</v>
      </c>
      <c r="G19" s="40">
        <f>SUM(E19:$E$31)</f>
        <v>0.868412017822266</v>
      </c>
    </row>
    <row r="20" spans="2:7" ht="12.75">
      <c r="B20" s="18">
        <v>11</v>
      </c>
      <c r="C20" s="34">
        <f>calibration!C23</f>
        <v>62.91552177132976</v>
      </c>
      <c r="D20" s="19">
        <f t="shared" si="0"/>
        <v>0.04859202952216262</v>
      </c>
      <c r="E20" s="28">
        <f>BINOMDIST(B20,20,Data!p,0)</f>
        <v>0.16017913818359372</v>
      </c>
      <c r="F20" s="41">
        <f t="shared" si="1"/>
        <v>0.0001795189463666931</v>
      </c>
      <c r="G20" s="40">
        <f>SUM(E20:$E$31)</f>
        <v>0.7482776641845705</v>
      </c>
    </row>
    <row r="21" spans="2:7" ht="12.75">
      <c r="B21" s="18">
        <v>10</v>
      </c>
      <c r="C21" s="34">
        <f>calibration!C24</f>
        <v>60.71401580293074</v>
      </c>
      <c r="D21" s="19">
        <f t="shared" si="0"/>
        <v>0.011900263382178977</v>
      </c>
      <c r="E21" s="28">
        <f>BINOMDIST(B21,20,Data!p,0)</f>
        <v>0.17619705200195312</v>
      </c>
      <c r="F21" s="41">
        <f t="shared" si="1"/>
        <v>1.8204552388190313E-06</v>
      </c>
      <c r="G21" s="40">
        <f>SUM(E21:$E$31)</f>
        <v>0.5880985260009768</v>
      </c>
    </row>
    <row r="22" spans="2:7" ht="12.75">
      <c r="B22" s="18">
        <v>9</v>
      </c>
      <c r="C22" s="34">
        <f>calibration!C25</f>
        <v>58.589543742738236</v>
      </c>
      <c r="D22" s="19">
        <f t="shared" si="0"/>
        <v>-0.023507604287696063</v>
      </c>
      <c r="E22" s="28">
        <f>BINOMDIST(B22,20,Data!p,0)</f>
        <v>0.16017913818359372</v>
      </c>
      <c r="F22" s="41">
        <f t="shared" si="1"/>
        <v>0.00023893510057626494</v>
      </c>
      <c r="G22" s="40">
        <f>SUM(E22:$E$31)</f>
        <v>0.41190147399902366</v>
      </c>
    </row>
    <row r="23" spans="2:7" ht="12.75">
      <c r="B23" s="18">
        <v>8</v>
      </c>
      <c r="C23" s="34">
        <f>calibration!C26</f>
        <v>56.539410061828484</v>
      </c>
      <c r="D23" s="19">
        <f t="shared" si="0"/>
        <v>-0.05767649896952527</v>
      </c>
      <c r="E23" s="28">
        <f>BINOMDIST(B23,20,Data!p,0)</f>
        <v>0.12013435363769544</v>
      </c>
      <c r="F23" s="41">
        <f t="shared" si="1"/>
        <v>0.0006365370823593516</v>
      </c>
      <c r="G23" s="40">
        <f>SUM(E23:$E$31)</f>
        <v>0.2517223358154299</v>
      </c>
    </row>
    <row r="24" spans="2:7" ht="12.75">
      <c r="B24" s="18">
        <v>7</v>
      </c>
      <c r="C24" s="34">
        <f>calibration!C27</f>
        <v>54.56101355177052</v>
      </c>
      <c r="D24" s="19">
        <f t="shared" si="0"/>
        <v>-0.09064977413715797</v>
      </c>
      <c r="E24" s="28">
        <f>BINOMDIST(B24,20,Data!p,0)</f>
        <v>0.07392883300781257</v>
      </c>
      <c r="F24" s="41">
        <f t="shared" si="1"/>
        <v>0.0008269754508117419</v>
      </c>
      <c r="G24" s="40">
        <f>SUM(E24:$E$31)</f>
        <v>0.13158798217773449</v>
      </c>
    </row>
    <row r="25" spans="2:8" ht="12.75">
      <c r="B25" s="18">
        <v>6</v>
      </c>
      <c r="C25" s="47">
        <f>calibration!C28</f>
        <v>52.6518440242143</v>
      </c>
      <c r="D25" s="19">
        <f t="shared" si="0"/>
        <v>-0.12246926626309503</v>
      </c>
      <c r="E25" s="28">
        <f>BINOMDIST(B25,20,Data!p,0)</f>
        <v>0.03696441650390628</v>
      </c>
      <c r="F25" s="41">
        <f t="shared" si="1"/>
        <v>0.0006997112274683426</v>
      </c>
      <c r="G25" s="40">
        <f>SUM(E25:$E$31)</f>
        <v>0.05765914916992191</v>
      </c>
      <c r="H25" s="13">
        <f>1-G25</f>
        <v>0.9423408508300781</v>
      </c>
    </row>
    <row r="26" spans="2:7" ht="12.75">
      <c r="B26" s="18">
        <v>5</v>
      </c>
      <c r="C26" s="34">
        <f>calibration!C29</f>
        <v>50.80947912596526</v>
      </c>
      <c r="D26" s="19">
        <f t="shared" si="0"/>
        <v>-0.153175347900579</v>
      </c>
      <c r="E26" s="28">
        <f>BINOMDIST(B26,20,Data!p,0)</f>
        <v>0.014785766601562505</v>
      </c>
      <c r="F26" s="41">
        <f t="shared" si="1"/>
        <v>0.0004187551611051181</v>
      </c>
      <c r="G26" s="40">
        <f>SUM(E26:$E$31)</f>
        <v>0.020694732666015632</v>
      </c>
    </row>
    <row r="27" spans="2:8" ht="12.75">
      <c r="B27" s="18">
        <v>4</v>
      </c>
      <c r="C27" s="47">
        <f>calibration!C30</f>
        <v>49.031581265503895</v>
      </c>
      <c r="D27" s="19">
        <f t="shared" si="0"/>
        <v>-0.1828069789082684</v>
      </c>
      <c r="E27" s="28">
        <f>BINOMDIST(B27,20,Data!p,0)</f>
        <v>0.004620552062988283</v>
      </c>
      <c r="F27" s="41">
        <f t="shared" si="1"/>
        <v>0.00018100065229321877</v>
      </c>
      <c r="G27" s="40">
        <f>SUM(E27:$E$31)</f>
        <v>0.005908966064453127</v>
      </c>
      <c r="H27" s="13">
        <f>1-G27</f>
        <v>0.9940910339355469</v>
      </c>
    </row>
    <row r="28" spans="2:7" ht="12.75">
      <c r="B28" s="18">
        <v>3</v>
      </c>
      <c r="C28" s="34">
        <f>calibration!C31</f>
        <v>47.31589464705106</v>
      </c>
      <c r="D28" s="19">
        <f t="shared" si="0"/>
        <v>-0.21140175588248233</v>
      </c>
      <c r="E28" s="28">
        <f>BINOMDIST(B28,20,Data!p,0)</f>
        <v>0.0010871887207031254</v>
      </c>
      <c r="F28" s="41">
        <f t="shared" si="1"/>
        <v>5.5783280601719795E-05</v>
      </c>
      <c r="G28" s="40">
        <f>SUM(E28:$E$31)</f>
        <v>0.0012884140014648442</v>
      </c>
    </row>
    <row r="29" spans="2:7" ht="12.75">
      <c r="B29" s="18">
        <v>2</v>
      </c>
      <c r="C29" s="34">
        <f>calibration!C32</f>
        <v>45.66024240841557</v>
      </c>
      <c r="D29" s="19">
        <f t="shared" si="0"/>
        <v>-0.2389959598597405</v>
      </c>
      <c r="E29" s="28">
        <f>BINOMDIST(B29,20,Data!p,0)</f>
        <v>0.00018119812011718753</v>
      </c>
      <c r="F29" s="41">
        <f t="shared" si="1"/>
        <v>1.1700356559459167E-05</v>
      </c>
      <c r="G29" s="40">
        <f>SUM(E29:$E$31)</f>
        <v>0.00020122528076171878</v>
      </c>
    </row>
    <row r="30" spans="2:7" ht="12.75">
      <c r="B30" s="18">
        <v>1</v>
      </c>
      <c r="C30" s="34">
        <f>calibration!C33</f>
        <v>44.0625238589927</v>
      </c>
      <c r="D30" s="19">
        <f t="shared" si="0"/>
        <v>-0.2656246023501217</v>
      </c>
      <c r="E30" s="28">
        <f>BINOMDIST(B30,20,Data!p,0)</f>
        <v>1.9073486328125E-05</v>
      </c>
      <c r="F30" s="41">
        <f t="shared" si="1"/>
        <v>1.5032672298930354E-06</v>
      </c>
      <c r="G30" s="40">
        <f>SUM(E30:$E$31)</f>
        <v>2.002716064453125E-05</v>
      </c>
    </row>
    <row r="31" spans="2:7" ht="12.75">
      <c r="B31" s="23">
        <v>0</v>
      </c>
      <c r="C31" s="35">
        <f>calibration!C34</f>
        <v>42.52071181440912</v>
      </c>
      <c r="D31" s="24">
        <f t="shared" si="0"/>
        <v>-0.291321469759848</v>
      </c>
      <c r="E31" s="29">
        <f>BINOMDIST(B31,20,Data!p,0)</f>
        <v>9.5367431640625E-07</v>
      </c>
      <c r="F31" s="44">
        <f t="shared" si="1"/>
        <v>8.955293827113404E-08</v>
      </c>
      <c r="G31" s="45">
        <f>SUM(E31:$E$31)</f>
        <v>9.5367431640625E-07</v>
      </c>
    </row>
    <row r="32" spans="5:7" ht="12.75">
      <c r="E32" s="2" t="s">
        <v>56</v>
      </c>
      <c r="F32" s="46">
        <f>SUM(F11:F31)</f>
        <v>0.006554871618907358</v>
      </c>
      <c r="G32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F10" sqref="F10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4.375" style="2" customWidth="1"/>
    <col min="7" max="7" width="12.125" style="2" customWidth="1"/>
    <col min="8" max="8" width="11.25390625" style="2" bestFit="1" customWidth="1"/>
    <col min="9" max="11" width="12.125" style="2" bestFit="1" customWidth="1"/>
    <col min="12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7" s="1" customFormat="1" ht="12.75">
      <c r="B3" s="1" t="s">
        <v>2</v>
      </c>
      <c r="C3" s="14" t="s">
        <v>74</v>
      </c>
      <c r="D3" s="15"/>
      <c r="E3" s="16"/>
      <c r="F3" s="36"/>
      <c r="G3" s="36"/>
    </row>
    <row r="5" spans="2:10" ht="12.75">
      <c r="B5" s="17" t="s">
        <v>52</v>
      </c>
      <c r="C5" s="53"/>
      <c r="D5" s="54">
        <f>SUMPRODUCT(E11:E31,F11:F31)</f>
        <v>0.14845330307744267</v>
      </c>
      <c r="F5" s="50" t="s">
        <v>60</v>
      </c>
      <c r="G5" s="25" t="s">
        <v>61</v>
      </c>
      <c r="J5" s="4" t="s">
        <v>3</v>
      </c>
    </row>
    <row r="6" spans="2:10" ht="12.75">
      <c r="B6" s="55" t="s">
        <v>75</v>
      </c>
      <c r="C6" s="58"/>
      <c r="D6" s="88">
        <f>G32^0.5</f>
        <v>1.539692798269944</v>
      </c>
      <c r="F6" s="48">
        <f>I25</f>
        <v>0.9423408508300781</v>
      </c>
      <c r="G6" s="51">
        <f>I_wealth</f>
        <v>15000</v>
      </c>
      <c r="J6" s="5" t="s">
        <v>4</v>
      </c>
    </row>
    <row r="7" spans="2:10" ht="12.75">
      <c r="B7" s="60" t="s">
        <v>59</v>
      </c>
      <c r="C7" s="61"/>
      <c r="D7" s="62">
        <f>(D5-r_f_hor)/D6</f>
        <v>0.09231543036075476</v>
      </c>
      <c r="F7" s="49">
        <f>I27</f>
        <v>0.9940910339355469</v>
      </c>
      <c r="G7" s="52">
        <f>G6</f>
        <v>15000</v>
      </c>
      <c r="J7" s="6" t="s">
        <v>5</v>
      </c>
    </row>
    <row r="8" ht="12.75">
      <c r="J8" s="7" t="s">
        <v>6</v>
      </c>
    </row>
    <row r="10" spans="2:8" ht="25.5">
      <c r="B10" s="31" t="s">
        <v>47</v>
      </c>
      <c r="C10" s="32" t="s">
        <v>48</v>
      </c>
      <c r="D10" s="37" t="s">
        <v>76</v>
      </c>
      <c r="E10" s="32" t="s">
        <v>77</v>
      </c>
      <c r="F10" s="32" t="s">
        <v>87</v>
      </c>
      <c r="G10" s="39" t="s">
        <v>55</v>
      </c>
      <c r="H10" s="39" t="s">
        <v>53</v>
      </c>
    </row>
    <row r="11" spans="2:8" ht="12.75">
      <c r="B11" s="18">
        <v>20</v>
      </c>
      <c r="C11" s="34">
        <f>calibration!C14</f>
        <v>86.69167465981542</v>
      </c>
      <c r="D11" s="19">
        <f>MAX(C11-X,0)</f>
        <v>26.69167465981542</v>
      </c>
      <c r="E11" s="91">
        <f>(D11-call)/call</f>
        <v>11.638103532109572</v>
      </c>
      <c r="F11" s="28">
        <f>BINOMDIST(B11,20,Data!p,0)</f>
        <v>9.5367431640625E-07</v>
      </c>
      <c r="G11" s="41">
        <f>F11*(E11-$D$5)^2</f>
        <v>0.0001258965133528691</v>
      </c>
      <c r="H11" s="89">
        <f>SUM(F11:$F$31)</f>
        <v>1.0000000000000004</v>
      </c>
    </row>
    <row r="12" spans="2:8" ht="12.75">
      <c r="B12" s="18">
        <v>19</v>
      </c>
      <c r="C12" s="34">
        <f>calibration!C15</f>
        <v>83.65820638679126</v>
      </c>
      <c r="D12" s="19">
        <f aca="true" t="shared" si="0" ref="D12:D31">MAX(C12-X,0)</f>
        <v>23.658206386791264</v>
      </c>
      <c r="E12" s="91">
        <f aca="true" t="shared" si="1" ref="E12:E31">(D12-call)/call</f>
        <v>10.201802266473134</v>
      </c>
      <c r="F12" s="28">
        <f>BINOMDIST(B12,20,Data!p,0)</f>
        <v>1.9073486328125E-05</v>
      </c>
      <c r="G12" s="41">
        <f aca="true" t="shared" si="2" ref="G12:G31">F12*(E12-$D$5)^2</f>
        <v>0.0019277539325677725</v>
      </c>
      <c r="H12" s="89">
        <f>SUM(F12:$F$31)</f>
        <v>0.999999046325684</v>
      </c>
    </row>
    <row r="13" spans="2:8" ht="12.75">
      <c r="B13" s="18">
        <v>18</v>
      </c>
      <c r="C13" s="34">
        <f>calibration!C16</f>
        <v>80.73088359774296</v>
      </c>
      <c r="D13" s="19">
        <f t="shared" si="0"/>
        <v>20.73088359774296</v>
      </c>
      <c r="E13" s="91">
        <f t="shared" si="1"/>
        <v>8.815759279234355</v>
      </c>
      <c r="F13" s="28">
        <f>BINOMDIST(B13,20,Data!p,0)</f>
        <v>0.00018119812011718753</v>
      </c>
      <c r="G13" s="41">
        <f t="shared" si="2"/>
        <v>0.013612000129720511</v>
      </c>
      <c r="H13" s="89">
        <f>SUM(F13:$F$31)</f>
        <v>0.9999799728393559</v>
      </c>
    </row>
    <row r="14" spans="2:8" ht="12.75">
      <c r="B14" s="18">
        <v>17</v>
      </c>
      <c r="C14" s="34">
        <f>calibration!C17</f>
        <v>77.90599210720546</v>
      </c>
      <c r="D14" s="19">
        <f t="shared" si="0"/>
        <v>17.905992107205464</v>
      </c>
      <c r="E14" s="91">
        <f t="shared" si="1"/>
        <v>7.478215959851071</v>
      </c>
      <c r="F14" s="28">
        <f>BINOMDIST(B14,20,Data!p,0)</f>
        <v>0.0010871887207031254</v>
      </c>
      <c r="G14" s="41">
        <f t="shared" si="2"/>
        <v>0.05840967129638849</v>
      </c>
      <c r="H14" s="89">
        <f>SUM(F14:$F$31)</f>
        <v>0.9997987747192387</v>
      </c>
    </row>
    <row r="15" spans="2:8" ht="12.75">
      <c r="B15" s="18">
        <v>16</v>
      </c>
      <c r="C15" s="34">
        <f>calibration!C18</f>
        <v>75.17994769448605</v>
      </c>
      <c r="D15" s="19">
        <f t="shared" si="0"/>
        <v>15.179947694486046</v>
      </c>
      <c r="E15" s="91">
        <f t="shared" si="1"/>
        <v>6.18747523413165</v>
      </c>
      <c r="F15" s="28">
        <f>BINOMDIST(B15,20,Data!p,0)</f>
        <v>0.004620552062988283</v>
      </c>
      <c r="G15" s="41">
        <f t="shared" si="2"/>
        <v>0.16851054440191907</v>
      </c>
      <c r="H15" s="89">
        <f>SUM(F15:$F$31)</f>
        <v>0.9987115859985356</v>
      </c>
    </row>
    <row r="16" spans="2:8" ht="12.75">
      <c r="B16" s="18">
        <v>15</v>
      </c>
      <c r="C16" s="34">
        <f>calibration!C19</f>
        <v>72.54929155600739</v>
      </c>
      <c r="D16" s="19">
        <f t="shared" si="0"/>
        <v>12.54929155600739</v>
      </c>
      <c r="E16" s="91">
        <f t="shared" si="1"/>
        <v>4.941899410988347</v>
      </c>
      <c r="F16" s="28">
        <f>BINOMDIST(B16,20,Data!p,0)</f>
        <v>0.014785766601562505</v>
      </c>
      <c r="G16" s="41">
        <f t="shared" si="2"/>
        <v>0.33973441614034067</v>
      </c>
      <c r="H16" s="89">
        <f>SUM(F16:$F$31)</f>
        <v>0.9940910339355473</v>
      </c>
    </row>
    <row r="17" spans="2:8" ht="12.75">
      <c r="B17" s="18">
        <v>14</v>
      </c>
      <c r="C17" s="34">
        <f>calibration!C20</f>
        <v>70.01068591677937</v>
      </c>
      <c r="D17" s="19">
        <f t="shared" si="0"/>
        <v>10.010685916779366</v>
      </c>
      <c r="E17" s="91">
        <f t="shared" si="1"/>
        <v>3.7399081045356843</v>
      </c>
      <c r="F17" s="28">
        <f>BINOMDIST(B17,20,Data!p,0)</f>
        <v>0.03696441650390628</v>
      </c>
      <c r="G17" s="41">
        <f t="shared" si="2"/>
        <v>0.47678728544612986</v>
      </c>
      <c r="H17" s="89">
        <f>SUM(F17:$F$31)</f>
        <v>0.9793052673339848</v>
      </c>
    </row>
    <row r="18" spans="2:8" ht="12.75">
      <c r="B18" s="18">
        <v>13</v>
      </c>
      <c r="C18" s="34">
        <f>calibration!C21</f>
        <v>67.56090979543225</v>
      </c>
      <c r="D18" s="19">
        <f t="shared" si="0"/>
        <v>7.560909795432252</v>
      </c>
      <c r="E18" s="91">
        <f t="shared" si="1"/>
        <v>2.5799762288978463</v>
      </c>
      <c r="F18" s="28">
        <f>BINOMDIST(B18,20,Data!p,0)</f>
        <v>0.07392883300781257</v>
      </c>
      <c r="G18" s="41">
        <f t="shared" si="2"/>
        <v>0.4370897157964878</v>
      </c>
      <c r="H18" s="89">
        <f>SUM(F18:$F$31)</f>
        <v>0.9423408508300786</v>
      </c>
    </row>
    <row r="19" spans="2:8" ht="12.75">
      <c r="B19" s="18">
        <v>12</v>
      </c>
      <c r="C19" s="34">
        <f>calibration!C22</f>
        <v>65.19685491743726</v>
      </c>
      <c r="D19" s="19">
        <f t="shared" si="0"/>
        <v>5.196854917437264</v>
      </c>
      <c r="E19" s="91">
        <f t="shared" si="1"/>
        <v>1.4606320631805225</v>
      </c>
      <c r="F19" s="28">
        <f>BINOMDIST(B19,20,Data!p,0)</f>
        <v>0.12013435363769544</v>
      </c>
      <c r="G19" s="41">
        <f t="shared" si="2"/>
        <v>0.20684890366908926</v>
      </c>
      <c r="H19" s="89">
        <f>SUM(F19:$F$31)</f>
        <v>0.868412017822266</v>
      </c>
    </row>
    <row r="20" spans="2:8" ht="12.75">
      <c r="B20" s="18">
        <v>11</v>
      </c>
      <c r="C20" s="34">
        <f>calibration!C23</f>
        <v>62.91552177132976</v>
      </c>
      <c r="D20" s="19">
        <f t="shared" si="0"/>
        <v>2.9155217713297574</v>
      </c>
      <c r="E20" s="91">
        <f t="shared" si="1"/>
        <v>0.3804553841523472</v>
      </c>
      <c r="F20" s="28">
        <f>BINOMDIST(B20,20,Data!p,0)</f>
        <v>0.16017913818359372</v>
      </c>
      <c r="G20" s="41">
        <f t="shared" si="2"/>
        <v>0.008621636606267566</v>
      </c>
      <c r="H20" s="89">
        <f>SUM(F20:$F$31)</f>
        <v>0.7482776641845705</v>
      </c>
    </row>
    <row r="21" spans="2:8" ht="12.75">
      <c r="B21" s="18">
        <v>10</v>
      </c>
      <c r="C21" s="34">
        <f>calibration!C24</f>
        <v>60.71401580293074</v>
      </c>
      <c r="D21" s="19">
        <f t="shared" si="0"/>
        <v>0.7140158029307386</v>
      </c>
      <c r="E21" s="91">
        <f t="shared" si="1"/>
        <v>-0.6619243357335518</v>
      </c>
      <c r="F21" s="28">
        <f>BINOMDIST(B21,20,Data!p,0)</f>
        <v>0.17619705200195312</v>
      </c>
      <c r="G21" s="41">
        <f t="shared" si="2"/>
        <v>0.1157107038753862</v>
      </c>
      <c r="H21" s="89">
        <f>SUM(F21:$F$31)</f>
        <v>0.5880985260009768</v>
      </c>
    </row>
    <row r="22" spans="2:8" ht="12.75">
      <c r="B22" s="18">
        <v>9</v>
      </c>
      <c r="C22" s="34">
        <f>calibration!C25</f>
        <v>58.589543742738236</v>
      </c>
      <c r="D22" s="19">
        <f t="shared" si="0"/>
        <v>0</v>
      </c>
      <c r="E22" s="91">
        <f t="shared" si="1"/>
        <v>-1</v>
      </c>
      <c r="F22" s="28">
        <f>BINOMDIST(B22,20,Data!p,0)</f>
        <v>0.16017913818359372</v>
      </c>
      <c r="G22" s="41">
        <f t="shared" si="2"/>
        <v>0.21126747170557023</v>
      </c>
      <c r="H22" s="89">
        <f>SUM(F22:$F$31)</f>
        <v>0.41190147399902366</v>
      </c>
    </row>
    <row r="23" spans="2:8" ht="12.75">
      <c r="B23" s="18">
        <v>8</v>
      </c>
      <c r="C23" s="34">
        <f>calibration!C26</f>
        <v>56.539410061828484</v>
      </c>
      <c r="D23" s="19">
        <f t="shared" si="0"/>
        <v>0</v>
      </c>
      <c r="E23" s="91">
        <f t="shared" si="1"/>
        <v>-1</v>
      </c>
      <c r="F23" s="28">
        <f>BINOMDIST(B23,20,Data!p,0)</f>
        <v>0.12013435363769544</v>
      </c>
      <c r="G23" s="41">
        <f t="shared" si="2"/>
        <v>0.15845060377917786</v>
      </c>
      <c r="H23" s="89">
        <f>SUM(F23:$F$31)</f>
        <v>0.2517223358154299</v>
      </c>
    </row>
    <row r="24" spans="2:8" ht="12.75">
      <c r="B24" s="18">
        <v>7</v>
      </c>
      <c r="C24" s="34">
        <f>calibration!C27</f>
        <v>54.56101355177052</v>
      </c>
      <c r="D24" s="19">
        <f t="shared" si="0"/>
        <v>0</v>
      </c>
      <c r="E24" s="91">
        <f t="shared" si="1"/>
        <v>-1</v>
      </c>
      <c r="F24" s="28">
        <f>BINOMDIST(B24,20,Data!p,0)</f>
        <v>0.07392883300781257</v>
      </c>
      <c r="G24" s="41">
        <f t="shared" si="2"/>
        <v>0.09750806386410944</v>
      </c>
      <c r="H24" s="89">
        <f>SUM(F24:$F$31)</f>
        <v>0.13158798217773449</v>
      </c>
    </row>
    <row r="25" spans="2:9" ht="12.75">
      <c r="B25" s="18">
        <v>6</v>
      </c>
      <c r="C25" s="47">
        <f>calibration!C28</f>
        <v>52.6518440242143</v>
      </c>
      <c r="D25" s="19">
        <f t="shared" si="0"/>
        <v>0</v>
      </c>
      <c r="E25" s="91">
        <f t="shared" si="1"/>
        <v>-1</v>
      </c>
      <c r="F25" s="28">
        <f>BINOMDIST(B25,20,Data!p,0)</f>
        <v>0.03696441650390628</v>
      </c>
      <c r="G25" s="41">
        <f t="shared" si="2"/>
        <v>0.048754031932054714</v>
      </c>
      <c r="H25" s="89">
        <f>SUM(F25:$F$31)</f>
        <v>0.05765914916992191</v>
      </c>
      <c r="I25" s="13">
        <f>1-H25</f>
        <v>0.9423408508300781</v>
      </c>
    </row>
    <row r="26" spans="2:8" ht="12.75">
      <c r="B26" s="18">
        <v>5</v>
      </c>
      <c r="C26" s="34">
        <f>calibration!C29</f>
        <v>50.80947912596526</v>
      </c>
      <c r="D26" s="19">
        <f t="shared" si="0"/>
        <v>0</v>
      </c>
      <c r="E26" s="91">
        <f t="shared" si="1"/>
        <v>-1</v>
      </c>
      <c r="F26" s="28">
        <f>BINOMDIST(B26,20,Data!p,0)</f>
        <v>0.014785766601562505</v>
      </c>
      <c r="G26" s="41">
        <f t="shared" si="2"/>
        <v>0.019501612772821877</v>
      </c>
      <c r="H26" s="89">
        <f>SUM(F26:$F$31)</f>
        <v>0.020694732666015632</v>
      </c>
    </row>
    <row r="27" spans="2:9" ht="12.75">
      <c r="B27" s="18">
        <v>4</v>
      </c>
      <c r="C27" s="47">
        <f>calibration!C30</f>
        <v>49.031581265503895</v>
      </c>
      <c r="D27" s="19">
        <f t="shared" si="0"/>
        <v>0</v>
      </c>
      <c r="E27" s="91">
        <f t="shared" si="1"/>
        <v>-1</v>
      </c>
      <c r="F27" s="28">
        <f>BINOMDIST(B27,20,Data!p,0)</f>
        <v>0.004620552062988283</v>
      </c>
      <c r="G27" s="41">
        <f t="shared" si="2"/>
        <v>0.006094253991506837</v>
      </c>
      <c r="H27" s="89">
        <f>SUM(F27:$F$31)</f>
        <v>0.005908966064453127</v>
      </c>
      <c r="I27" s="13">
        <f>1-H27</f>
        <v>0.9940910339355469</v>
      </c>
    </row>
    <row r="28" spans="2:8" ht="12.75">
      <c r="B28" s="18">
        <v>3</v>
      </c>
      <c r="C28" s="34">
        <f>calibration!C31</f>
        <v>47.31589464705106</v>
      </c>
      <c r="D28" s="19">
        <f t="shared" si="0"/>
        <v>0</v>
      </c>
      <c r="E28" s="91">
        <f t="shared" si="1"/>
        <v>-1</v>
      </c>
      <c r="F28" s="28">
        <f>BINOMDIST(B28,20,Data!p,0)</f>
        <v>0.0010871887207031254</v>
      </c>
      <c r="G28" s="41">
        <f t="shared" si="2"/>
        <v>0.0014339421156486674</v>
      </c>
      <c r="H28" s="89">
        <f>SUM(F28:$F$31)</f>
        <v>0.0012884140014648442</v>
      </c>
    </row>
    <row r="29" spans="2:8" ht="12.75">
      <c r="B29" s="18">
        <v>2</v>
      </c>
      <c r="C29" s="34">
        <f>calibration!C32</f>
        <v>45.66024240841557</v>
      </c>
      <c r="D29" s="19">
        <f t="shared" si="0"/>
        <v>0</v>
      </c>
      <c r="E29" s="91">
        <f t="shared" si="1"/>
        <v>-1</v>
      </c>
      <c r="F29" s="28">
        <f>BINOMDIST(B29,20,Data!p,0)</f>
        <v>0.00018119812011718753</v>
      </c>
      <c r="G29" s="41">
        <f t="shared" si="2"/>
        <v>0.00023899035260811118</v>
      </c>
      <c r="H29" s="89">
        <f>SUM(F29:$F$31)</f>
        <v>0.00020122528076171878</v>
      </c>
    </row>
    <row r="30" spans="2:8" ht="12.75">
      <c r="B30" s="18">
        <v>1</v>
      </c>
      <c r="C30" s="34">
        <f>calibration!C33</f>
        <v>44.0625238589927</v>
      </c>
      <c r="D30" s="19">
        <f t="shared" si="0"/>
        <v>0</v>
      </c>
      <c r="E30" s="91">
        <f t="shared" si="1"/>
        <v>-1</v>
      </c>
      <c r="F30" s="28">
        <f>BINOMDIST(B30,20,Data!p,0)</f>
        <v>1.9073486328125E-05</v>
      </c>
      <c r="G30" s="41">
        <f t="shared" si="2"/>
        <v>2.5156879221906436E-05</v>
      </c>
      <c r="H30" s="89">
        <f>SUM(F30:$F$31)</f>
        <v>2.002716064453125E-05</v>
      </c>
    </row>
    <row r="31" spans="2:8" ht="12.75">
      <c r="B31" s="23">
        <v>0</v>
      </c>
      <c r="C31" s="35">
        <f>calibration!C34</f>
        <v>42.52071181440912</v>
      </c>
      <c r="D31" s="24">
        <f t="shared" si="0"/>
        <v>0</v>
      </c>
      <c r="E31" s="99">
        <f t="shared" si="1"/>
        <v>-1</v>
      </c>
      <c r="F31" s="29">
        <f>BINOMDIST(B31,20,Data!p,0)</f>
        <v>9.5367431640625E-07</v>
      </c>
      <c r="G31" s="44">
        <f t="shared" si="2"/>
        <v>1.2578439610953219E-06</v>
      </c>
      <c r="H31" s="90">
        <f>SUM(F31:$F$31)</f>
        <v>9.5367431640625E-07</v>
      </c>
    </row>
    <row r="32" spans="5:8" ht="12.75">
      <c r="E32" s="2" t="s">
        <v>56</v>
      </c>
      <c r="G32" s="98">
        <f>SUM(G11:G31)</f>
        <v>2.3706539130443307</v>
      </c>
      <c r="H32" s="3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I10" sqref="I10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0.125" style="2" customWidth="1"/>
    <col min="5" max="5" width="14.375" style="2" bestFit="1" customWidth="1"/>
    <col min="6" max="6" width="14.375" style="2" customWidth="1"/>
    <col min="7" max="7" width="12.125" style="2" customWidth="1"/>
    <col min="8" max="8" width="11.25390625" style="2" bestFit="1" customWidth="1"/>
    <col min="9" max="11" width="12.125" style="2" bestFit="1" customWidth="1"/>
    <col min="12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7" s="1" customFormat="1" ht="12.75">
      <c r="B3" s="1" t="s">
        <v>2</v>
      </c>
      <c r="C3" s="14" t="s">
        <v>86</v>
      </c>
      <c r="D3" s="15"/>
      <c r="E3" s="15"/>
      <c r="F3" s="16"/>
      <c r="G3" s="36"/>
    </row>
    <row r="4" ht="12.75"/>
    <row r="5" spans="2:10" ht="12.75">
      <c r="B5" s="17" t="s">
        <v>52</v>
      </c>
      <c r="C5" s="53"/>
      <c r="D5" s="54">
        <f>SUMPRODUCT(E11:E31,F11:F31)</f>
        <v>0.043993476214111746</v>
      </c>
      <c r="F5" s="50" t="s">
        <v>60</v>
      </c>
      <c r="G5" s="25" t="s">
        <v>61</v>
      </c>
      <c r="J5" s="4" t="s">
        <v>3</v>
      </c>
    </row>
    <row r="6" spans="2:10" ht="12.75">
      <c r="B6" s="55" t="s">
        <v>82</v>
      </c>
      <c r="C6" s="36"/>
      <c r="D6" s="57">
        <f>I_wealth/deposit</f>
        <v>1250</v>
      </c>
      <c r="F6" s="48">
        <f>I25</f>
        <v>0.9423408508300781</v>
      </c>
      <c r="G6" s="51">
        <f>-D6*D25+D6*deposit*r_f_hor</f>
        <v>9753.625950093947</v>
      </c>
      <c r="J6" s="5" t="s">
        <v>4</v>
      </c>
    </row>
    <row r="7" spans="2:10" ht="12.75">
      <c r="B7" s="55" t="s">
        <v>75</v>
      </c>
      <c r="C7" s="58"/>
      <c r="D7" s="88">
        <f>G32^0.5</f>
        <v>0.40481080824588167</v>
      </c>
      <c r="F7" s="49">
        <f>I27</f>
        <v>0.9940910339355469</v>
      </c>
      <c r="G7" s="52">
        <f>-D6*D27+D6*deposit*r_f_hor</f>
        <v>14278.954398481952</v>
      </c>
      <c r="J7" s="6" t="s">
        <v>5</v>
      </c>
    </row>
    <row r="8" spans="2:10" ht="12.75">
      <c r="B8" s="60" t="s">
        <v>59</v>
      </c>
      <c r="C8" s="61"/>
      <c r="D8" s="62">
        <f>(D5-r_f_hor)/D7</f>
        <v>0.0930745317685006</v>
      </c>
      <c r="J8" s="7" t="s">
        <v>6</v>
      </c>
    </row>
    <row r="9" ht="12.75"/>
    <row r="10" spans="2:8" ht="25.5">
      <c r="B10" s="31" t="s">
        <v>47</v>
      </c>
      <c r="C10" s="32" t="s">
        <v>48</v>
      </c>
      <c r="D10" s="37" t="s">
        <v>79</v>
      </c>
      <c r="E10" s="32" t="s">
        <v>83</v>
      </c>
      <c r="F10" s="32" t="s">
        <v>87</v>
      </c>
      <c r="G10" s="39" t="s">
        <v>55</v>
      </c>
      <c r="H10" s="39" t="s">
        <v>53</v>
      </c>
    </row>
    <row r="11" spans="2:8" ht="12.75">
      <c r="B11" s="108">
        <v>20</v>
      </c>
      <c r="C11" s="109">
        <f>calibration!C14</f>
        <v>86.69167465981542</v>
      </c>
      <c r="D11" s="110">
        <f aca="true" t="shared" si="0" ref="D11:D31">C11-forward</f>
        <v>26.31272067290754</v>
      </c>
      <c r="E11" s="111">
        <f>(D11)/deposit</f>
        <v>2.192726722742295</v>
      </c>
      <c r="F11" s="112">
        <f>BINOMDIST(B11,20,Data!p,0)</f>
        <v>9.5367431640625E-07</v>
      </c>
      <c r="G11" s="113">
        <f aca="true" t="shared" si="1" ref="G11:G31">F11*(E11-$D$5)^2</f>
        <v>4.403166355834528E-06</v>
      </c>
      <c r="H11" s="114">
        <f>SUM(F11:$F$31)</f>
        <v>1.0000000000000004</v>
      </c>
    </row>
    <row r="12" spans="2:8" ht="12.75">
      <c r="B12" s="18">
        <v>19</v>
      </c>
      <c r="C12" s="34">
        <f>calibration!C15</f>
        <v>83.65820638679126</v>
      </c>
      <c r="D12" s="19">
        <f t="shared" si="0"/>
        <v>23.279252399883383</v>
      </c>
      <c r="E12" s="100">
        <f aca="true" t="shared" si="2" ref="E12:E31">(D12)/deposit</f>
        <v>1.939937699990282</v>
      </c>
      <c r="F12" s="28">
        <f>BINOMDIST(B12,20,Data!p,0)</f>
        <v>1.9073486328125E-05</v>
      </c>
      <c r="G12" s="41">
        <f t="shared" si="1"/>
        <v>6.856163977947664E-05</v>
      </c>
      <c r="H12" s="89">
        <f>SUM(F12:$F$31)</f>
        <v>0.999999046325684</v>
      </c>
    </row>
    <row r="13" spans="2:8" ht="12.75">
      <c r="B13" s="18">
        <v>18</v>
      </c>
      <c r="C13" s="34">
        <f>calibration!C16</f>
        <v>80.73088359774296</v>
      </c>
      <c r="D13" s="19">
        <f t="shared" si="0"/>
        <v>20.35192961083508</v>
      </c>
      <c r="E13" s="100">
        <f t="shared" si="2"/>
        <v>1.6959941342362566</v>
      </c>
      <c r="F13" s="28">
        <f>BINOMDIST(B13,20,Data!p,0)</f>
        <v>0.00018119812011718753</v>
      </c>
      <c r="G13" s="41">
        <f t="shared" si="1"/>
        <v>0.0004945089083481446</v>
      </c>
      <c r="H13" s="89">
        <f>SUM(F13:$F$31)</f>
        <v>0.9999799728393559</v>
      </c>
    </row>
    <row r="14" spans="2:8" ht="12.75">
      <c r="B14" s="18">
        <v>17</v>
      </c>
      <c r="C14" s="34">
        <f>calibration!C17</f>
        <v>77.90599210720546</v>
      </c>
      <c r="D14" s="19">
        <f t="shared" si="0"/>
        <v>17.527038120297583</v>
      </c>
      <c r="E14" s="100">
        <f t="shared" si="2"/>
        <v>1.4605865100247986</v>
      </c>
      <c r="F14" s="28">
        <f>BINOMDIST(B14,20,Data!p,0)</f>
        <v>0.0010871887207031254</v>
      </c>
      <c r="G14" s="41">
        <f t="shared" si="1"/>
        <v>0.0021817005526759167</v>
      </c>
      <c r="H14" s="89">
        <f>SUM(F14:$F$31)</f>
        <v>0.9997987747192387</v>
      </c>
    </row>
    <row r="15" spans="2:8" ht="12.75">
      <c r="B15" s="18">
        <v>16</v>
      </c>
      <c r="C15" s="34">
        <f>calibration!C18</f>
        <v>75.17994769448605</v>
      </c>
      <c r="D15" s="19">
        <f t="shared" si="0"/>
        <v>14.800993707578165</v>
      </c>
      <c r="E15" s="100">
        <f t="shared" si="2"/>
        <v>1.2334161422981804</v>
      </c>
      <c r="F15" s="28">
        <f>BINOMDIST(B15,20,Data!p,0)</f>
        <v>0.004620552062988283</v>
      </c>
      <c r="G15" s="41">
        <f t="shared" si="1"/>
        <v>0.006536816425123711</v>
      </c>
      <c r="H15" s="89">
        <f>SUM(F15:$F$31)</f>
        <v>0.9987115859985356</v>
      </c>
    </row>
    <row r="16" spans="2:8" ht="12.75">
      <c r="B16" s="18">
        <v>15</v>
      </c>
      <c r="C16" s="34">
        <f>calibration!C19</f>
        <v>72.54929155600739</v>
      </c>
      <c r="D16" s="19">
        <f t="shared" si="0"/>
        <v>12.170337569099509</v>
      </c>
      <c r="E16" s="100">
        <f t="shared" si="2"/>
        <v>1.014194797424959</v>
      </c>
      <c r="F16" s="28">
        <f>BINOMDIST(B16,20,Data!p,0)</f>
        <v>0.014785766601562505</v>
      </c>
      <c r="G16" s="41">
        <f t="shared" si="1"/>
        <v>0.013917703170245611</v>
      </c>
      <c r="H16" s="89">
        <f>SUM(F16:$F$31)</f>
        <v>0.9940910339355473</v>
      </c>
    </row>
    <row r="17" spans="2:8" ht="12.75">
      <c r="B17" s="18">
        <v>14</v>
      </c>
      <c r="C17" s="34">
        <f>calibration!C20</f>
        <v>70.01068591677937</v>
      </c>
      <c r="D17" s="19">
        <f t="shared" si="0"/>
        <v>9.631731929871485</v>
      </c>
      <c r="E17" s="100">
        <f t="shared" si="2"/>
        <v>0.8026443274892904</v>
      </c>
      <c r="F17" s="28">
        <f>BINOMDIST(B17,20,Data!p,0)</f>
        <v>0.03696441650390628</v>
      </c>
      <c r="G17" s="41">
        <f t="shared" si="1"/>
        <v>0.02127491110237871</v>
      </c>
      <c r="H17" s="89">
        <f>SUM(F17:$F$31)</f>
        <v>0.9793052673339848</v>
      </c>
    </row>
    <row r="18" spans="2:8" ht="12.75">
      <c r="B18" s="18">
        <v>13</v>
      </c>
      <c r="C18" s="34">
        <f>calibration!C21</f>
        <v>67.56090979543225</v>
      </c>
      <c r="D18" s="19">
        <f t="shared" si="0"/>
        <v>7.181955808524371</v>
      </c>
      <c r="E18" s="100">
        <f t="shared" si="2"/>
        <v>0.5984963173770309</v>
      </c>
      <c r="F18" s="28">
        <f>BINOMDIST(B18,20,Data!p,0)</f>
        <v>0.07392883300781257</v>
      </c>
      <c r="G18" s="41">
        <f t="shared" si="1"/>
        <v>0.02273114970635678</v>
      </c>
      <c r="H18" s="89">
        <f>SUM(F18:$F$31)</f>
        <v>0.9423408508300786</v>
      </c>
    </row>
    <row r="19" spans="2:8" ht="12.75">
      <c r="B19" s="18">
        <v>12</v>
      </c>
      <c r="C19" s="34">
        <f>calibration!C22</f>
        <v>65.19685491743726</v>
      </c>
      <c r="D19" s="19">
        <f t="shared" si="0"/>
        <v>4.817900930529383</v>
      </c>
      <c r="E19" s="100">
        <f t="shared" si="2"/>
        <v>0.40149174421078193</v>
      </c>
      <c r="F19" s="28">
        <f>BINOMDIST(B19,20,Data!p,0)</f>
        <v>0.12013435363769544</v>
      </c>
      <c r="G19" s="41">
        <f t="shared" si="1"/>
        <v>0.015353772462701218</v>
      </c>
      <c r="H19" s="89">
        <f>SUM(F19:$F$31)</f>
        <v>0.868412017822266</v>
      </c>
    </row>
    <row r="20" spans="2:8" ht="12.75">
      <c r="B20" s="18">
        <v>11</v>
      </c>
      <c r="C20" s="34">
        <f>calibration!C23</f>
        <v>62.91552177132976</v>
      </c>
      <c r="D20" s="19">
        <f t="shared" si="0"/>
        <v>2.5365677844218766</v>
      </c>
      <c r="E20" s="100">
        <f t="shared" si="2"/>
        <v>0.21138064870182305</v>
      </c>
      <c r="F20" s="28">
        <f>BINOMDIST(B20,20,Data!p,0)</f>
        <v>0.16017913818359372</v>
      </c>
      <c r="G20" s="41">
        <f t="shared" si="1"/>
        <v>0.004487973659168089</v>
      </c>
      <c r="H20" s="89">
        <f>SUM(F20:$F$31)</f>
        <v>0.7482776641845705</v>
      </c>
    </row>
    <row r="21" spans="2:8" ht="12.75">
      <c r="B21" s="18">
        <v>10</v>
      </c>
      <c r="C21" s="34">
        <f>calibration!C24</f>
        <v>60.71401580293074</v>
      </c>
      <c r="D21" s="19">
        <f t="shared" si="0"/>
        <v>0.3350618160228578</v>
      </c>
      <c r="E21" s="100">
        <f t="shared" si="2"/>
        <v>0.027921818001904814</v>
      </c>
      <c r="F21" s="28">
        <f>BINOMDIST(B21,20,Data!p,0)</f>
        <v>0.17619705200195312</v>
      </c>
      <c r="G21" s="41">
        <f t="shared" si="1"/>
        <v>4.5511380970395433E-05</v>
      </c>
      <c r="H21" s="89">
        <f>SUM(F21:$F$31)</f>
        <v>0.5880985260009768</v>
      </c>
    </row>
    <row r="22" spans="2:8" ht="12.75">
      <c r="B22" s="18">
        <v>9</v>
      </c>
      <c r="C22" s="34">
        <f>calibration!C25</f>
        <v>58.589543742738236</v>
      </c>
      <c r="D22" s="19">
        <f t="shared" si="0"/>
        <v>-1.7894102441696447</v>
      </c>
      <c r="E22" s="100">
        <f t="shared" si="2"/>
        <v>-0.1491175203474704</v>
      </c>
      <c r="F22" s="28">
        <f>BINOMDIST(B22,20,Data!p,0)</f>
        <v>0.16017913818359372</v>
      </c>
      <c r="G22" s="41">
        <f t="shared" si="1"/>
        <v>0.0059733775144057465</v>
      </c>
      <c r="H22" s="89">
        <f>SUM(F22:$F$31)</f>
        <v>0.41190147399902366</v>
      </c>
    </row>
    <row r="23" spans="2:8" ht="12.75">
      <c r="B23" s="18">
        <v>8</v>
      </c>
      <c r="C23" s="34">
        <f>calibration!C26</f>
        <v>56.539410061828484</v>
      </c>
      <c r="D23" s="19">
        <f t="shared" si="0"/>
        <v>-3.839543925079397</v>
      </c>
      <c r="E23" s="100">
        <f t="shared" si="2"/>
        <v>-0.31996199375661644</v>
      </c>
      <c r="F23" s="28">
        <f>BINOMDIST(B23,20,Data!p,0)</f>
        <v>0.12013435363769544</v>
      </c>
      <c r="G23" s="41">
        <f t="shared" si="1"/>
        <v>0.01591342705898255</v>
      </c>
      <c r="H23" s="89">
        <f>SUM(F23:$F$31)</f>
        <v>0.2517223358154299</v>
      </c>
    </row>
    <row r="24" spans="2:8" ht="12.75">
      <c r="B24" s="18">
        <v>7</v>
      </c>
      <c r="C24" s="34">
        <f>calibration!C27</f>
        <v>54.56101355177052</v>
      </c>
      <c r="D24" s="19">
        <f t="shared" si="0"/>
        <v>-5.817940435137359</v>
      </c>
      <c r="E24" s="100">
        <f t="shared" si="2"/>
        <v>-0.48482836959477993</v>
      </c>
      <c r="F24" s="28">
        <f>BINOMDIST(B24,20,Data!p,0)</f>
        <v>0.07392883300781257</v>
      </c>
      <c r="G24" s="41">
        <f t="shared" si="1"/>
        <v>0.020674386270292437</v>
      </c>
      <c r="H24" s="89">
        <f>SUM(F24:$F$31)</f>
        <v>0.13158798217773449</v>
      </c>
    </row>
    <row r="25" spans="2:9" ht="12.75">
      <c r="B25" s="18">
        <v>6</v>
      </c>
      <c r="C25" s="34">
        <f>calibration!C28</f>
        <v>52.6518440242143</v>
      </c>
      <c r="D25" s="102">
        <f t="shared" si="0"/>
        <v>-7.727109962693582</v>
      </c>
      <c r="E25" s="100">
        <f t="shared" si="2"/>
        <v>-0.6439258302244651</v>
      </c>
      <c r="F25" s="28">
        <f>BINOMDIST(B25,20,Data!p,0)</f>
        <v>0.03696441650390628</v>
      </c>
      <c r="G25" s="41">
        <f t="shared" si="1"/>
        <v>0.017492780686707843</v>
      </c>
      <c r="H25" s="89">
        <f>SUM(F25:$F$31)</f>
        <v>0.05765914916992191</v>
      </c>
      <c r="I25" s="13">
        <f>1-H25</f>
        <v>0.9423408508300781</v>
      </c>
    </row>
    <row r="26" spans="2:8" ht="12.75">
      <c r="B26" s="18">
        <v>5</v>
      </c>
      <c r="C26" s="34">
        <f>calibration!C29</f>
        <v>50.80947912596526</v>
      </c>
      <c r="D26" s="19">
        <f t="shared" si="0"/>
        <v>-9.56947486094262</v>
      </c>
      <c r="E26" s="100">
        <f t="shared" si="2"/>
        <v>-0.797456238411885</v>
      </c>
      <c r="F26" s="28">
        <f>BINOMDIST(B26,20,Data!p,0)</f>
        <v>0.014785766601562505</v>
      </c>
      <c r="G26" s="41">
        <f t="shared" si="1"/>
        <v>0.010468879027627599</v>
      </c>
      <c r="H26" s="89">
        <f>SUM(F26:$F$31)</f>
        <v>0.020694732666015632</v>
      </c>
    </row>
    <row r="27" spans="2:9" ht="12.75">
      <c r="B27" s="18">
        <v>4</v>
      </c>
      <c r="C27" s="34">
        <f>calibration!C30</f>
        <v>49.031581265503895</v>
      </c>
      <c r="D27" s="102">
        <f t="shared" si="0"/>
        <v>-11.347372721403985</v>
      </c>
      <c r="E27" s="100">
        <f t="shared" si="2"/>
        <v>-0.9456143934503322</v>
      </c>
      <c r="F27" s="28">
        <f>BINOMDIST(B27,20,Data!p,0)</f>
        <v>0.004620552062988283</v>
      </c>
      <c r="G27" s="41">
        <f t="shared" si="1"/>
        <v>0.004525016307330339</v>
      </c>
      <c r="H27" s="89">
        <f>SUM(F27:$F$31)</f>
        <v>0.005908966064453127</v>
      </c>
      <c r="I27" s="13">
        <f>1-H27</f>
        <v>0.9940910339355469</v>
      </c>
    </row>
    <row r="28" spans="2:8" ht="12.75">
      <c r="B28" s="18">
        <v>3</v>
      </c>
      <c r="C28" s="34">
        <f>calibration!C31</f>
        <v>47.31589464705106</v>
      </c>
      <c r="D28" s="19">
        <f t="shared" si="0"/>
        <v>-13.06305933985682</v>
      </c>
      <c r="E28" s="100">
        <f t="shared" si="2"/>
        <v>-1.0885882783214018</v>
      </c>
      <c r="F28" s="28">
        <f>BINOMDIST(B28,20,Data!p,0)</f>
        <v>0.0010871887207031254</v>
      </c>
      <c r="G28" s="41">
        <f t="shared" si="1"/>
        <v>0.0013945820150429598</v>
      </c>
      <c r="H28" s="89">
        <f>SUM(F28:$F$31)</f>
        <v>0.0012884140014648442</v>
      </c>
    </row>
    <row r="29" spans="2:8" ht="12.75">
      <c r="B29" s="18">
        <v>2</v>
      </c>
      <c r="C29" s="34">
        <f>calibration!C32</f>
        <v>45.66024240841557</v>
      </c>
      <c r="D29" s="19">
        <f t="shared" si="0"/>
        <v>-14.71871157849231</v>
      </c>
      <c r="E29" s="100">
        <f t="shared" si="2"/>
        <v>-1.2265592982076925</v>
      </c>
      <c r="F29" s="28">
        <f>BINOMDIST(B29,20,Data!p,0)</f>
        <v>0.00018119812011718753</v>
      </c>
      <c r="G29" s="41">
        <f t="shared" si="1"/>
        <v>0.0002925089139864725</v>
      </c>
      <c r="H29" s="89">
        <f>SUM(F29:$F$31)</f>
        <v>0.00020122528076171878</v>
      </c>
    </row>
    <row r="30" spans="2:8" ht="12.75">
      <c r="B30" s="18">
        <v>1</v>
      </c>
      <c r="C30" s="34">
        <f>calibration!C33</f>
        <v>44.0625238589927</v>
      </c>
      <c r="D30" s="19">
        <f t="shared" si="0"/>
        <v>-16.316430127915183</v>
      </c>
      <c r="E30" s="100">
        <f t="shared" si="2"/>
        <v>-1.3597025106595986</v>
      </c>
      <c r="F30" s="28">
        <f>BINOMDIST(B30,20,Data!p,0)</f>
        <v>1.9073486328125E-05</v>
      </c>
      <c r="G30" s="41">
        <f t="shared" si="1"/>
        <v>3.758168074732512E-05</v>
      </c>
      <c r="H30" s="89">
        <f>SUM(F30:$F$31)</f>
        <v>2.002716064453125E-05</v>
      </c>
    </row>
    <row r="31" spans="2:8" ht="12.75">
      <c r="B31" s="23">
        <v>0</v>
      </c>
      <c r="C31" s="35">
        <f>calibration!C34</f>
        <v>42.52071181440912</v>
      </c>
      <c r="D31" s="24">
        <f t="shared" si="0"/>
        <v>-17.858242172498763</v>
      </c>
      <c r="E31" s="115">
        <f t="shared" si="2"/>
        <v>-1.4881868477082303</v>
      </c>
      <c r="F31" s="29">
        <f>BINOMDIST(B31,20,Data!p,0)</f>
        <v>9.5367431640625E-07</v>
      </c>
      <c r="G31" s="44">
        <f t="shared" si="1"/>
        <v>2.2388234567783094E-06</v>
      </c>
      <c r="H31" s="90">
        <f>SUM(F31:$F$31)</f>
        <v>9.5367431640625E-07</v>
      </c>
    </row>
    <row r="32" spans="5:8" ht="12.75">
      <c r="E32" s="2" t="s">
        <v>56</v>
      </c>
      <c r="G32" s="98">
        <f>SUM(G11:G31)</f>
        <v>0.16387179047268396</v>
      </c>
      <c r="H32" s="38"/>
    </row>
  </sheetData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2" customWidth="1"/>
    <col min="2" max="2" width="11.00390625" style="2" customWidth="1"/>
    <col min="3" max="3" width="10.75390625" style="2" bestFit="1" customWidth="1"/>
    <col min="4" max="4" width="11.25390625" style="2" customWidth="1"/>
    <col min="5" max="5" width="11.00390625" style="2" customWidth="1"/>
    <col min="6" max="6" width="12.25390625" style="2" bestFit="1" customWidth="1"/>
    <col min="7" max="7" width="13.125" style="2" bestFit="1" customWidth="1"/>
    <col min="8" max="8" width="12.25390625" style="2" bestFit="1" customWidth="1"/>
    <col min="9" max="9" width="9.125" style="2" customWidth="1"/>
    <col min="10" max="10" width="12.125" style="2" bestFit="1" customWidth="1"/>
    <col min="11" max="11" width="8.00390625" style="2" customWidth="1"/>
    <col min="12" max="12" width="12.125" style="2" bestFit="1" customWidth="1"/>
    <col min="13" max="16384" width="9.125" style="2" customWidth="1"/>
  </cols>
  <sheetData>
    <row r="1" s="3" customFormat="1" ht="12.75">
      <c r="B1" s="3" t="s">
        <v>0</v>
      </c>
    </row>
    <row r="2" s="3" customFormat="1" ht="12.75">
      <c r="B2" s="3" t="s">
        <v>1</v>
      </c>
    </row>
    <row r="3" spans="2:6" s="1" customFormat="1" ht="12.75">
      <c r="B3" s="1" t="s">
        <v>2</v>
      </c>
      <c r="C3" s="14" t="s">
        <v>71</v>
      </c>
      <c r="D3" s="15"/>
      <c r="E3" s="16"/>
      <c r="F3" s="36"/>
    </row>
    <row r="4" ht="12.75"/>
    <row r="5" spans="1:9" ht="12.75">
      <c r="A5" s="36"/>
      <c r="C5" s="63"/>
      <c r="D5" s="67"/>
      <c r="E5" s="36"/>
      <c r="F5" s="64"/>
      <c r="G5" s="64"/>
      <c r="H5" s="36"/>
      <c r="I5" s="2">
        <v>50</v>
      </c>
    </row>
    <row r="6" spans="1:10" ht="26.25" thickBot="1">
      <c r="A6" s="36"/>
      <c r="B6" s="36"/>
      <c r="C6" s="63"/>
      <c r="D6" s="86" t="s">
        <v>64</v>
      </c>
      <c r="E6" s="87" t="s">
        <v>65</v>
      </c>
      <c r="F6" s="92" t="s">
        <v>66</v>
      </c>
      <c r="G6" s="103" t="s">
        <v>67</v>
      </c>
      <c r="H6" s="117" t="s">
        <v>78</v>
      </c>
      <c r="I6" s="118"/>
      <c r="J6" s="119"/>
    </row>
    <row r="7" spans="1:12" ht="12.75">
      <c r="A7" s="36"/>
      <c r="B7" s="17" t="s">
        <v>62</v>
      </c>
      <c r="C7" s="79"/>
      <c r="D7" s="104">
        <f>r_f_hor</f>
        <v>0.006315899781798029</v>
      </c>
      <c r="E7" s="84">
        <f>k_stock_hor</f>
        <v>0.0151145950246232</v>
      </c>
      <c r="F7" s="70">
        <f>options!D5</f>
        <v>0.14845330307744267</v>
      </c>
      <c r="G7" s="84">
        <f>forward!D5</f>
        <v>0.043993476214111746</v>
      </c>
      <c r="H7" s="107">
        <f>I7*F7+I8*D7</f>
        <v>0.013789910859292917</v>
      </c>
      <c r="I7" s="127">
        <f>100%-94.7417%+(I5-50)/1000</f>
        <v>0.052583000000000046</v>
      </c>
      <c r="J7" s="72" t="s">
        <v>69</v>
      </c>
      <c r="L7" s="4" t="s">
        <v>3</v>
      </c>
    </row>
    <row r="8" spans="1:12" ht="13.5" thickBot="1">
      <c r="A8" s="36"/>
      <c r="B8" s="60" t="s">
        <v>63</v>
      </c>
      <c r="C8" s="61"/>
      <c r="D8" s="99">
        <v>0</v>
      </c>
      <c r="E8" s="85">
        <f>stock!D7</f>
        <v>0.08096216164917633</v>
      </c>
      <c r="F8" s="94">
        <f>options!D6</f>
        <v>1.539692798269944</v>
      </c>
      <c r="G8" s="85">
        <f>forward!D7</f>
        <v>0.40481080824588167</v>
      </c>
      <c r="H8" s="49">
        <f>I7*F8</f>
        <v>0.08096166641142853</v>
      </c>
      <c r="I8" s="128">
        <f>1-I7</f>
        <v>0.947417</v>
      </c>
      <c r="J8" s="73" t="s">
        <v>70</v>
      </c>
      <c r="L8" s="5" t="s">
        <v>4</v>
      </c>
    </row>
    <row r="9" spans="1:12" ht="12.75">
      <c r="A9" s="36"/>
      <c r="B9" s="78" t="s">
        <v>68</v>
      </c>
      <c r="C9" s="15"/>
      <c r="D9" s="80"/>
      <c r="E9" s="96">
        <f>(E7-$D$7)/E8</f>
        <v>0.10867663441289412</v>
      </c>
      <c r="F9" s="97">
        <f>(F7-$D$7)/F8</f>
        <v>0.09231543036075476</v>
      </c>
      <c r="G9" s="97">
        <f>(G7-$D$7)/G8</f>
        <v>0.0930745317685006</v>
      </c>
      <c r="H9" s="105">
        <f>(H7-$D$7)/H8</f>
        <v>0.09231543036075476</v>
      </c>
      <c r="L9" s="6" t="s">
        <v>5</v>
      </c>
    </row>
    <row r="10" spans="1:12" ht="12.75">
      <c r="A10" s="36"/>
      <c r="B10" s="74" t="s">
        <v>72</v>
      </c>
      <c r="C10" s="75"/>
      <c r="D10" s="81"/>
      <c r="E10" s="83">
        <f>stock!G6</f>
        <v>1931.7774906733957</v>
      </c>
      <c r="F10" s="93">
        <f>options!G6</f>
        <v>15000</v>
      </c>
      <c r="G10" s="83">
        <f>forward!G6</f>
        <v>9753.625950093947</v>
      </c>
      <c r="H10" s="71">
        <f>I7*F10</f>
        <v>788.7450000000007</v>
      </c>
      <c r="L10" s="7" t="s">
        <v>6</v>
      </c>
    </row>
    <row r="11" spans="1:8" ht="12.75">
      <c r="A11" s="36"/>
      <c r="B11" s="76" t="s">
        <v>73</v>
      </c>
      <c r="C11" s="77"/>
      <c r="D11" s="43"/>
      <c r="E11" s="82">
        <f>stock!G7</f>
        <v>2836.8431803509957</v>
      </c>
      <c r="F11" s="95">
        <f>options!G7</f>
        <v>15000</v>
      </c>
      <c r="G11" s="116">
        <f>forward!G7</f>
        <v>14278.954398481952</v>
      </c>
      <c r="H11" s="106">
        <f>I7*F11</f>
        <v>788.7450000000007</v>
      </c>
    </row>
    <row r="12" spans="1:8" ht="12.75">
      <c r="A12" s="36"/>
      <c r="B12" s="64"/>
      <c r="C12" s="65"/>
      <c r="D12" s="19"/>
      <c r="E12" s="20"/>
      <c r="F12" s="20"/>
      <c r="G12" s="66"/>
      <c r="H12" s="36"/>
    </row>
    <row r="13" spans="1:8" ht="12.75">
      <c r="A13" s="36"/>
      <c r="B13" s="64"/>
      <c r="C13" s="65"/>
      <c r="D13" s="19"/>
      <c r="E13" s="20"/>
      <c r="F13" s="20"/>
      <c r="G13" s="66"/>
      <c r="H13" s="36"/>
    </row>
    <row r="14" spans="1:8" ht="12.75">
      <c r="A14" s="36"/>
      <c r="B14" s="64"/>
      <c r="C14" s="65"/>
      <c r="D14" s="19"/>
      <c r="E14" s="20"/>
      <c r="F14" s="20"/>
      <c r="G14" s="66"/>
      <c r="H14" s="36"/>
    </row>
    <row r="15" spans="1:8" ht="12.75">
      <c r="A15" s="36"/>
      <c r="B15" s="64"/>
      <c r="C15" s="65"/>
      <c r="D15" s="19"/>
      <c r="E15" s="20"/>
      <c r="F15" s="20"/>
      <c r="G15" s="66"/>
      <c r="H15" s="36"/>
    </row>
    <row r="16" spans="1:8" ht="12.75">
      <c r="A16" s="36"/>
      <c r="B16" s="64"/>
      <c r="C16" s="65"/>
      <c r="D16" s="19"/>
      <c r="E16" s="20"/>
      <c r="F16" s="20"/>
      <c r="G16" s="66"/>
      <c r="H16" s="36"/>
    </row>
    <row r="17" spans="1:8" ht="12.75">
      <c r="A17" s="36"/>
      <c r="B17" s="64"/>
      <c r="C17" s="65"/>
      <c r="D17" s="19"/>
      <c r="E17" s="20"/>
      <c r="F17" s="20"/>
      <c r="G17" s="66"/>
      <c r="H17" s="36"/>
    </row>
    <row r="18" spans="1:8" ht="12.75">
      <c r="A18" s="36"/>
      <c r="B18" s="64"/>
      <c r="C18" s="65"/>
      <c r="D18" s="19"/>
      <c r="E18" s="20"/>
      <c r="F18" s="20"/>
      <c r="G18" s="66"/>
      <c r="H18" s="36"/>
    </row>
    <row r="19" spans="1:8" ht="12.75">
      <c r="A19" s="36"/>
      <c r="B19" s="64"/>
      <c r="C19" s="65"/>
      <c r="D19" s="19"/>
      <c r="E19" s="20"/>
      <c r="F19" s="20"/>
      <c r="G19" s="66"/>
      <c r="H19" s="36"/>
    </row>
    <row r="20" spans="1:8" ht="12.75">
      <c r="A20" s="36"/>
      <c r="B20" s="64"/>
      <c r="C20" s="65"/>
      <c r="D20" s="19"/>
      <c r="E20" s="20"/>
      <c r="F20" s="20"/>
      <c r="G20" s="66"/>
      <c r="H20" s="36"/>
    </row>
    <row r="21" spans="1:8" ht="12.75">
      <c r="A21" s="36"/>
      <c r="B21" s="64"/>
      <c r="C21" s="65"/>
      <c r="D21" s="19"/>
      <c r="E21" s="20"/>
      <c r="F21" s="20"/>
      <c r="G21" s="66"/>
      <c r="H21" s="36"/>
    </row>
    <row r="22" spans="1:8" ht="12.75">
      <c r="A22" s="36"/>
      <c r="B22" s="64"/>
      <c r="C22" s="65"/>
      <c r="D22" s="19"/>
      <c r="E22" s="20"/>
      <c r="F22" s="20"/>
      <c r="G22" s="66"/>
      <c r="H22" s="36"/>
    </row>
    <row r="23" spans="1:8" ht="12.75">
      <c r="A23" s="36"/>
      <c r="B23" s="64"/>
      <c r="C23" s="65"/>
      <c r="D23" s="19"/>
      <c r="E23" s="20"/>
      <c r="F23" s="20"/>
      <c r="G23" s="66"/>
      <c r="H23" s="36"/>
    </row>
    <row r="24" spans="1:8" ht="12.75">
      <c r="A24" s="36"/>
      <c r="B24" s="64"/>
      <c r="C24" s="65"/>
      <c r="D24" s="19"/>
      <c r="E24" s="20"/>
      <c r="F24" s="20"/>
      <c r="G24" s="66"/>
      <c r="H24" s="36"/>
    </row>
    <row r="25" spans="1:8" ht="12.75">
      <c r="A25" s="36"/>
      <c r="B25" s="64"/>
      <c r="C25" s="65"/>
      <c r="D25" s="19"/>
      <c r="E25" s="20"/>
      <c r="F25" s="20"/>
      <c r="G25" s="66"/>
      <c r="H25" s="68"/>
    </row>
    <row r="26" spans="1:8" ht="12.75">
      <c r="A26" s="36"/>
      <c r="B26" s="64"/>
      <c r="C26" s="65"/>
      <c r="D26" s="19"/>
      <c r="E26" s="20"/>
      <c r="F26" s="20"/>
      <c r="G26" s="66"/>
      <c r="H26" s="36"/>
    </row>
    <row r="27" spans="1:8" ht="12.75">
      <c r="A27" s="36"/>
      <c r="B27" s="64"/>
      <c r="C27" s="65"/>
      <c r="D27" s="19"/>
      <c r="E27" s="20"/>
      <c r="F27" s="20"/>
      <c r="G27" s="66"/>
      <c r="H27" s="68"/>
    </row>
    <row r="28" spans="1:8" ht="12.75">
      <c r="A28" s="36"/>
      <c r="B28" s="64"/>
      <c r="C28" s="65"/>
      <c r="D28" s="19"/>
      <c r="E28" s="20"/>
      <c r="F28" s="20"/>
      <c r="G28" s="66"/>
      <c r="H28" s="36"/>
    </row>
    <row r="29" spans="1:8" ht="12.75">
      <c r="A29" s="36"/>
      <c r="B29" s="64"/>
      <c r="C29" s="65"/>
      <c r="D29" s="19"/>
      <c r="E29" s="20"/>
      <c r="F29" s="20"/>
      <c r="G29" s="66"/>
      <c r="H29" s="36"/>
    </row>
    <row r="30" spans="1:8" ht="12.75">
      <c r="A30" s="36"/>
      <c r="B30" s="64"/>
      <c r="C30" s="65"/>
      <c r="D30" s="19"/>
      <c r="E30" s="20"/>
      <c r="F30" s="20"/>
      <c r="G30" s="66"/>
      <c r="H30" s="36"/>
    </row>
    <row r="31" spans="1:8" ht="12.75">
      <c r="A31" s="36"/>
      <c r="B31" s="64"/>
      <c r="C31" s="65"/>
      <c r="D31" s="19"/>
      <c r="E31" s="20"/>
      <c r="F31" s="20"/>
      <c r="G31" s="66"/>
      <c r="H31" s="36"/>
    </row>
    <row r="32" spans="1:8" ht="12.75">
      <c r="A32" s="36"/>
      <c r="B32" s="36"/>
      <c r="C32" s="36"/>
      <c r="D32" s="36"/>
      <c r="E32" s="36"/>
      <c r="F32" s="69"/>
      <c r="G32" s="38"/>
      <c r="H32" s="36"/>
    </row>
    <row r="33" spans="1:8" ht="12.75">
      <c r="A33" s="36"/>
      <c r="B33" s="36"/>
      <c r="C33" s="36"/>
      <c r="D33" s="36"/>
      <c r="E33" s="36"/>
      <c r="F33" s="36"/>
      <c r="G33" s="36"/>
      <c r="H33" s="36"/>
    </row>
    <row r="34" spans="1:8" ht="12.75">
      <c r="A34" s="36"/>
      <c r="B34" s="36"/>
      <c r="C34" s="36"/>
      <c r="D34" s="36"/>
      <c r="E34" s="36"/>
      <c r="F34" s="36"/>
      <c r="G34" s="36"/>
      <c r="H34" s="36"/>
    </row>
  </sheetData>
  <mergeCells count="1">
    <mergeCell ref="H6:J6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Word.Document.8" shapeId="33761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Capinski</dc:creator>
  <cp:keywords/>
  <dc:description/>
  <cp:lastModifiedBy>Tomasz Zastawniak</cp:lastModifiedBy>
  <dcterms:created xsi:type="dcterms:W3CDTF">2004-01-11T13:07:09Z</dcterms:created>
  <dcterms:modified xsi:type="dcterms:W3CDTF">2004-02-14T23:09:11Z</dcterms:modified>
  <cp:category/>
  <cp:version/>
  <cp:contentType/>
  <cp:contentStatus/>
</cp:coreProperties>
</file>