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20" windowHeight="9600" activeTab="6"/>
  </bookViews>
  <sheets>
    <sheet name="Data" sheetId="1" r:id="rId1"/>
    <sheet name="calibration" sheetId="2" r:id="rId2"/>
    <sheet name="stock" sheetId="3" r:id="rId3"/>
    <sheet name="option prices" sheetId="4" r:id="rId4"/>
    <sheet name="call-58" sheetId="5" r:id="rId5"/>
    <sheet name="bull-58-60" sheetId="6" r:id="rId6"/>
    <sheet name="summary" sheetId="7" r:id="rId7"/>
  </sheets>
  <definedNames>
    <definedName name="call">'Data'!$D$18</definedName>
    <definedName name="D" localSheetId="5">'bull-58-60'!$C$6</definedName>
    <definedName name="D" localSheetId="4">'call-58'!$C$6</definedName>
    <definedName name="D" localSheetId="3">'calibration'!$C$6</definedName>
    <definedName name="D" localSheetId="2">'stock'!$C$6</definedName>
    <definedName name="D" localSheetId="6">'summary'!$C$6</definedName>
    <definedName name="D">'calibration'!$C$6</definedName>
    <definedName name="d_hor">'Data'!$D$7</definedName>
    <definedName name="d_year">'Data'!$D$6</definedName>
    <definedName name="forward">'Data'!$D$20</definedName>
    <definedName name="I_wealth">'Data'!$D$11</definedName>
    <definedName name="k_stock">'Data'!$D$13</definedName>
    <definedName name="k_stock_day">'Data'!$D$14</definedName>
    <definedName name="k_stock_hor">'Data'!$D$15</definedName>
    <definedName name="p" localSheetId="0">'Data'!$D$23</definedName>
    <definedName name="p_rn" localSheetId="5">'bull-58-60'!#REF!</definedName>
    <definedName name="p_rn" localSheetId="4">'call-58'!#REF!</definedName>
    <definedName name="p_rn" localSheetId="3">'calibration'!$C$11</definedName>
    <definedName name="p_rn" localSheetId="2">'stock'!#REF!</definedName>
    <definedName name="p_rn">'calibration'!$C$11</definedName>
    <definedName name="r_f">'Data'!$D$5</definedName>
    <definedName name="r_f_day">'Data'!$D$8</definedName>
    <definedName name="r_f_hor">'Data'!$D$9</definedName>
    <definedName name="S_0">'Data'!$D$17</definedName>
    <definedName name="solver_adj" localSheetId="5" hidden="1">'bull-58-60'!$C$5:$C$6</definedName>
    <definedName name="solver_adj" localSheetId="1" hidden="1">'calibration'!$C$5:$C$6</definedName>
    <definedName name="solver_adj" localSheetId="4" hidden="1">'call-58'!$C$5:$C$6</definedName>
    <definedName name="solver_adj" localSheetId="3" hidden="1">'option prices'!$C$5:$C$5</definedName>
    <definedName name="solver_adj" localSheetId="2" hidden="1">'stock'!$C$5:$C$6</definedName>
    <definedName name="solver_adj" localSheetId="6" hidden="1">'summary'!$C$5:$C$6</definedName>
    <definedName name="solver_cvg" localSheetId="5" hidden="1">0.0001</definedName>
    <definedName name="solver_cvg" localSheetId="1" hidden="1">0.0001</definedName>
    <definedName name="solver_cvg" localSheetId="4" hidden="1">0.0001</definedName>
    <definedName name="solver_cvg" localSheetId="3" hidden="1">0.0001</definedName>
    <definedName name="solver_cvg" localSheetId="2" hidden="1">0.0001</definedName>
    <definedName name="solver_cvg" localSheetId="6" hidden="1">0.0001</definedName>
    <definedName name="solver_drv" localSheetId="5" hidden="1">1</definedName>
    <definedName name="solver_drv" localSheetId="1" hidden="1">1</definedName>
    <definedName name="solver_drv" localSheetId="4" hidden="1">1</definedName>
    <definedName name="solver_drv" localSheetId="3" hidden="1">1</definedName>
    <definedName name="solver_drv" localSheetId="2" hidden="1">1</definedName>
    <definedName name="solver_drv" localSheetId="6" hidden="1">1</definedName>
    <definedName name="solver_est" localSheetId="5" hidden="1">1</definedName>
    <definedName name="solver_est" localSheetId="1" hidden="1">1</definedName>
    <definedName name="solver_est" localSheetId="4" hidden="1">1</definedName>
    <definedName name="solver_est" localSheetId="3" hidden="1">1</definedName>
    <definedName name="solver_est" localSheetId="2" hidden="1">1</definedName>
    <definedName name="solver_est" localSheetId="6" hidden="1">1</definedName>
    <definedName name="solver_itr" localSheetId="5" hidden="1">100</definedName>
    <definedName name="solver_itr" localSheetId="1" hidden="1">100</definedName>
    <definedName name="solver_itr" localSheetId="4" hidden="1">100</definedName>
    <definedName name="solver_itr" localSheetId="3" hidden="1">100</definedName>
    <definedName name="solver_itr" localSheetId="2" hidden="1">100</definedName>
    <definedName name="solver_itr" localSheetId="6" hidden="1">100</definedName>
    <definedName name="solver_lin" localSheetId="5" hidden="1">2</definedName>
    <definedName name="solver_lin" localSheetId="1" hidden="1">2</definedName>
    <definedName name="solver_lin" localSheetId="4" hidden="1">2</definedName>
    <definedName name="solver_lin" localSheetId="3" hidden="1">2</definedName>
    <definedName name="solver_lin" localSheetId="2" hidden="1">2</definedName>
    <definedName name="solver_lin" localSheetId="6" hidden="1">2</definedName>
    <definedName name="solver_neg" localSheetId="5" hidden="1">2</definedName>
    <definedName name="solver_neg" localSheetId="1" hidden="1">2</definedName>
    <definedName name="solver_neg" localSheetId="4" hidden="1">2</definedName>
    <definedName name="solver_neg" localSheetId="3" hidden="1">2</definedName>
    <definedName name="solver_neg" localSheetId="2" hidden="1">2</definedName>
    <definedName name="solver_neg" localSheetId="6" hidden="1">2</definedName>
    <definedName name="solver_num" localSheetId="5" hidden="1">0</definedName>
    <definedName name="solver_num" localSheetId="1" hidden="1">0</definedName>
    <definedName name="solver_num" localSheetId="4" hidden="1">0</definedName>
    <definedName name="solver_num" localSheetId="3" hidden="1">0</definedName>
    <definedName name="solver_num" localSheetId="2" hidden="1">0</definedName>
    <definedName name="solver_num" localSheetId="6" hidden="1">0</definedName>
    <definedName name="solver_nwt" localSheetId="5" hidden="1">1</definedName>
    <definedName name="solver_nwt" localSheetId="1" hidden="1">1</definedName>
    <definedName name="solver_nwt" localSheetId="4" hidden="1">1</definedName>
    <definedName name="solver_nwt" localSheetId="3" hidden="1">1</definedName>
    <definedName name="solver_nwt" localSheetId="2" hidden="1">1</definedName>
    <definedName name="solver_nwt" localSheetId="6" hidden="1">1</definedName>
    <definedName name="solver_opt" localSheetId="5" hidden="1">'bull-58-60'!#REF!</definedName>
    <definedName name="solver_opt" localSheetId="1" hidden="1">'calibration'!#REF!</definedName>
    <definedName name="solver_opt" localSheetId="4" hidden="1">'call-58'!#REF!</definedName>
    <definedName name="solver_opt" localSheetId="3" hidden="1">'option prices'!#REF!</definedName>
    <definedName name="solver_opt" localSheetId="2" hidden="1">'stock'!#REF!</definedName>
    <definedName name="solver_opt" localSheetId="6" hidden="1">'summary'!#REF!</definedName>
    <definedName name="solver_pre" localSheetId="5" hidden="1">0.000001</definedName>
    <definedName name="solver_pre" localSheetId="1" hidden="1">0.000001</definedName>
    <definedName name="solver_pre" localSheetId="4" hidden="1">0.000001</definedName>
    <definedName name="solver_pre" localSheetId="3" hidden="1">0.000001</definedName>
    <definedName name="solver_pre" localSheetId="2" hidden="1">0.000001</definedName>
    <definedName name="solver_pre" localSheetId="6" hidden="1">0.000001</definedName>
    <definedName name="solver_scl" localSheetId="5" hidden="1">2</definedName>
    <definedName name="solver_scl" localSheetId="1" hidden="1">2</definedName>
    <definedName name="solver_scl" localSheetId="4" hidden="1">2</definedName>
    <definedName name="solver_scl" localSheetId="3" hidden="1">2</definedName>
    <definedName name="solver_scl" localSheetId="2" hidden="1">2</definedName>
    <definedName name="solver_scl" localSheetId="6" hidden="1">2</definedName>
    <definedName name="solver_sho" localSheetId="5" hidden="1">2</definedName>
    <definedName name="solver_sho" localSheetId="1" hidden="1">2</definedName>
    <definedName name="solver_sho" localSheetId="4" hidden="1">2</definedName>
    <definedName name="solver_sho" localSheetId="3" hidden="1">2</definedName>
    <definedName name="solver_sho" localSheetId="2" hidden="1">2</definedName>
    <definedName name="solver_sho" localSheetId="6" hidden="1">2</definedName>
    <definedName name="solver_tim" localSheetId="5" hidden="1">100</definedName>
    <definedName name="solver_tim" localSheetId="1" hidden="1">100</definedName>
    <definedName name="solver_tim" localSheetId="4" hidden="1">100</definedName>
    <definedName name="solver_tim" localSheetId="3" hidden="1">100</definedName>
    <definedName name="solver_tim" localSheetId="2" hidden="1">100</definedName>
    <definedName name="solver_tim" localSheetId="6" hidden="1">100</definedName>
    <definedName name="solver_tol" localSheetId="5" hidden="1">0.05</definedName>
    <definedName name="solver_tol" localSheetId="1" hidden="1">0.05</definedName>
    <definedName name="solver_tol" localSheetId="4" hidden="1">0.05</definedName>
    <definedName name="solver_tol" localSheetId="3" hidden="1">0.05</definedName>
    <definedName name="solver_tol" localSheetId="2" hidden="1">0.05</definedName>
    <definedName name="solver_tol" localSheetId="6" hidden="1">0.05</definedName>
    <definedName name="solver_typ" localSheetId="5" hidden="1">2</definedName>
    <definedName name="solver_typ" localSheetId="1" hidden="1">2</definedName>
    <definedName name="solver_typ" localSheetId="4" hidden="1">2</definedName>
    <definedName name="solver_typ" localSheetId="3" hidden="1">2</definedName>
    <definedName name="solver_typ" localSheetId="2" hidden="1">2</definedName>
    <definedName name="solver_typ" localSheetId="6" hidden="1">2</definedName>
    <definedName name="solver_val" localSheetId="5" hidden="1">0</definedName>
    <definedName name="solver_val" localSheetId="1" hidden="1">0</definedName>
    <definedName name="solver_val" localSheetId="4" hidden="1">0</definedName>
    <definedName name="solver_val" localSheetId="3" hidden="1">0</definedName>
    <definedName name="solver_val" localSheetId="2" hidden="1">0</definedName>
    <definedName name="solver_val" localSheetId="6" hidden="1">0</definedName>
    <definedName name="U" localSheetId="5">'bull-58-60'!$C$5</definedName>
    <definedName name="U" localSheetId="4">'call-58'!$C$5</definedName>
    <definedName name="U" localSheetId="3">'calibration'!$C$5</definedName>
    <definedName name="U" localSheetId="2">'stock'!$C$5</definedName>
    <definedName name="U" localSheetId="6">'summary'!$C$5</definedName>
    <definedName name="U">'calibration'!$C$5</definedName>
    <definedName name="X">'Data'!$D$19</definedName>
  </definedNames>
  <calcPr fullCalcOnLoad="1" iterate="1" iterateCount="1000" iterateDelta="0.001"/>
</workbook>
</file>

<file path=xl/comments7.xml><?xml version="1.0" encoding="utf-8"?>
<comments xmlns="http://schemas.openxmlformats.org/spreadsheetml/2006/main">
  <authors>
    <author>Marek Capinski</author>
  </authors>
  <commentList>
    <comment ref="H10" authorId="0">
      <text>
        <r>
          <rPr>
            <b/>
            <sz val="8"/>
            <rFont val="Tahoma"/>
            <family val="0"/>
          </rPr>
          <t>Money invested risk-free does not contribute to VaR</t>
        </r>
      </text>
    </comment>
  </commentList>
</comments>
</file>

<file path=xl/sharedStrings.xml><?xml version="1.0" encoding="utf-8"?>
<sst xmlns="http://schemas.openxmlformats.org/spreadsheetml/2006/main" count="166" uniqueCount="93">
  <si>
    <t>"Mathematics for Finance" by M. Capinski and T. Zastawniak</t>
  </si>
  <si>
    <t>Chapter 9: Financial Engineering</t>
  </si>
  <si>
    <t>input data</t>
  </si>
  <si>
    <t>auxiliary data</t>
  </si>
  <si>
    <t>output data</t>
  </si>
  <si>
    <t>dynamic data</t>
  </si>
  <si>
    <t>days in year</t>
  </si>
  <si>
    <t>days to horizon</t>
  </si>
  <si>
    <t>risk free return over horizon</t>
  </si>
  <si>
    <t>d_hor</t>
  </si>
  <si>
    <t>d_year</t>
  </si>
  <si>
    <t>r_f</t>
  </si>
  <si>
    <t>initial wealth</t>
  </si>
  <si>
    <t>I_wealth</t>
  </si>
  <si>
    <t>risk-free rate of return</t>
  </si>
  <si>
    <t>stock expected rate of return</t>
  </si>
  <si>
    <t>k_stock</t>
  </si>
  <si>
    <t>k_stock_hor</t>
  </si>
  <si>
    <t>stock expected rate over horizon</t>
  </si>
  <si>
    <t>S_0</t>
  </si>
  <si>
    <t>initial stock price</t>
  </si>
  <si>
    <t>risk free return daily</t>
  </si>
  <si>
    <t>stock expected rate daily</t>
  </si>
  <si>
    <t>call premium</t>
  </si>
  <si>
    <t>call</t>
  </si>
  <si>
    <t>strike price</t>
  </si>
  <si>
    <t>X</t>
  </si>
  <si>
    <t>U</t>
  </si>
  <si>
    <t>D</t>
  </si>
  <si>
    <t>probability of up movement</t>
  </si>
  <si>
    <t>p</t>
  </si>
  <si>
    <t>expected</t>
  </si>
  <si>
    <t>target</t>
  </si>
  <si>
    <t>error</t>
  </si>
  <si>
    <t>r_f_day</t>
  </si>
  <si>
    <t>r_f_hor</t>
  </si>
  <si>
    <t>k_stock_day</t>
  </si>
  <si>
    <t>p_rn</t>
  </si>
  <si>
    <t>D x E</t>
  </si>
  <si>
    <t>this is computed by means of U to fit the expected return</t>
  </si>
  <si>
    <t>data</t>
  </si>
  <si>
    <t>risk neutral probability</t>
  </si>
  <si>
    <t>from the computations below</t>
  </si>
  <si>
    <t xml:space="preserve">Calibration of the binomial model </t>
  </si>
  <si>
    <t>found to fit the call premium to the data by making error 0</t>
  </si>
  <si>
    <t>risk-neutral probability</t>
  </si>
  <si>
    <t>no of up-movements</t>
  </si>
  <si>
    <t>stock after 20 days</t>
  </si>
  <si>
    <t>compares premiums: computed with given</t>
  </si>
  <si>
    <t>Stock investment</t>
  </si>
  <si>
    <t>rate of return</t>
  </si>
  <si>
    <t>expected  return</t>
  </si>
  <si>
    <t>cumulative probability</t>
  </si>
  <si>
    <t>number of shares</t>
  </si>
  <si>
    <t>computation of variance</t>
  </si>
  <si>
    <t>sigma-stock</t>
  </si>
  <si>
    <t>call-payoff discounted</t>
  </si>
  <si>
    <t>market price of risk</t>
  </si>
  <si>
    <t>confidence</t>
  </si>
  <si>
    <t>VaR</t>
  </si>
  <si>
    <t>Expected return</t>
  </si>
  <si>
    <t>Risk - sigma</t>
  </si>
  <si>
    <t>risk-free</t>
  </si>
  <si>
    <t>stock</t>
  </si>
  <si>
    <t>call options</t>
  </si>
  <si>
    <t>Market price of risk</t>
  </si>
  <si>
    <t>risk free</t>
  </si>
  <si>
    <t>Summary: 20-days investment</t>
  </si>
  <si>
    <t>call payoff</t>
  </si>
  <si>
    <t>forward price</t>
  </si>
  <si>
    <t>forward</t>
  </si>
  <si>
    <t>number of contracts</t>
  </si>
  <si>
    <t>deposit on forward contract</t>
  </si>
  <si>
    <t>deposit</t>
  </si>
  <si>
    <t>Case 9.3</t>
  </si>
  <si>
    <t>modified probability Q</t>
  </si>
  <si>
    <t>variance =</t>
  </si>
  <si>
    <t>VaR(74,03%)</t>
  </si>
  <si>
    <t>call premium, strike 58</t>
  </si>
  <si>
    <t>call premium, strike 60</t>
  </si>
  <si>
    <t>discounted call payoff strike 58</t>
  </si>
  <si>
    <t>discounted call payoff strike 60</t>
  </si>
  <si>
    <t>Call options prices</t>
  </si>
  <si>
    <t>Investment in call options, strike price = 58</t>
  </si>
  <si>
    <t>number of options</t>
  </si>
  <si>
    <t>sigma</t>
  </si>
  <si>
    <t>bull spread</t>
  </si>
  <si>
    <t>portfolio: bull spread - risk-free</t>
  </si>
  <si>
    <t>bull payoff</t>
  </si>
  <si>
    <t>Investment in bull spreads, strike prices 58,60</t>
  </si>
  <si>
    <t>cost of bull</t>
  </si>
  <si>
    <t>in bull spread</t>
  </si>
  <si>
    <t>market probability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</si>
</sst>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0.0%"/>
    <numFmt numFmtId="173" formatCode="0.000%"/>
    <numFmt numFmtId="174" formatCode="0.0000%"/>
    <numFmt numFmtId="175" formatCode="0.00000"/>
    <numFmt numFmtId="176" formatCode="0.0000"/>
    <numFmt numFmtId="177" formatCode="0.000E+00"/>
    <numFmt numFmtId="178" formatCode="_-* #,##0.000\ _z_ł_-;\-* #,##0.000\ _z_ł_-;_-* &quot;-&quot;??\ _z_ł_-;_-@_-"/>
    <numFmt numFmtId="179" formatCode="_-* #,##0.0000\ _z_ł_-;\-* #,##0.0000\ _z_ł_-;_-* &quot;-&quot;??\ _z_ł_-;_-@_-"/>
    <numFmt numFmtId="180" formatCode="_-* #,##0.00000\ _z_ł_-;\-* #,##0.00000\ _z_ł_-;_-* &quot;-&quot;??\ _z_ł_-;_-@_-"/>
    <numFmt numFmtId="181" formatCode="_-* #,##0.00000\ _z_ł_-;\-* #,##0.00000\ _z_ł_-;_-* &quot;-&quot;?????\ _z_ł_-;_-@_-"/>
    <numFmt numFmtId="182" formatCode="0.0"/>
    <numFmt numFmtId="183" formatCode="0.000"/>
    <numFmt numFmtId="184" formatCode="0.000000"/>
    <numFmt numFmtId="185" formatCode="0.0000000"/>
    <numFmt numFmtId="186" formatCode="0.00000000"/>
    <numFmt numFmtId="187" formatCode="0.00000%"/>
    <numFmt numFmtId="188" formatCode="0.0000E+00"/>
    <numFmt numFmtId="189" formatCode="0.0000000000"/>
    <numFmt numFmtId="190" formatCode="0.000000000"/>
    <numFmt numFmtId="191" formatCode="_-* #,##0.0\ _z_ł_-;\-* #,##0.0\ _z_ł_-;_-* &quot;-&quot;??\ _z_ł_-;_-@_-"/>
    <numFmt numFmtId="192" formatCode="_-* #,##0\ _z_ł_-;\-* #,##0\ _z_ł_-;_-* &quot;-&quot;??\ _z_ł_-;_-@_-"/>
    <numFmt numFmtId="193" formatCode="_-* #,##0.0000\ _z_ł_-;\-* #,##0.0000\ _z_ł_-;_-* &quot;-&quot;?????\ _z_ł_-;_-@_-"/>
  </numFmts>
  <fonts count="12">
    <font>
      <sz val="10"/>
      <name val="Arial CE"/>
      <family val="0"/>
    </font>
    <font>
      <b/>
      <sz val="10"/>
      <name val="Arial"/>
      <family val="2"/>
    </font>
    <font>
      <sz val="10"/>
      <color indexed="9"/>
      <name val="Arial CE"/>
      <family val="2"/>
    </font>
    <font>
      <b/>
      <sz val="10"/>
      <name val="Arial CE"/>
      <family val="2"/>
    </font>
    <font>
      <b/>
      <sz val="10"/>
      <color indexed="56"/>
      <name val="Arial CE"/>
      <family val="2"/>
    </font>
    <font>
      <b/>
      <sz val="10"/>
      <color indexed="10"/>
      <name val="Arial CE"/>
      <family val="2"/>
    </font>
    <font>
      <sz val="11.5"/>
      <name val="Arial CE"/>
      <family val="0"/>
    </font>
    <font>
      <b/>
      <sz val="10"/>
      <color indexed="17"/>
      <name val="Arial CE"/>
      <family val="2"/>
    </font>
    <font>
      <b/>
      <sz val="8"/>
      <name val="Tahoma"/>
      <family val="0"/>
    </font>
    <font>
      <b/>
      <sz val="10"/>
      <color indexed="49"/>
      <name val="Arial CE"/>
      <family val="2"/>
    </font>
    <font>
      <b/>
      <sz val="11.5"/>
      <name val="Arial CE"/>
      <family val="0"/>
    </font>
    <font>
      <b/>
      <sz val="8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3" borderId="0" xfId="0" applyFont="1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9" fontId="0" fillId="4" borderId="0" xfId="0" applyNumberFormat="1" applyFill="1" applyAlignment="1">
      <alignment/>
    </xf>
    <xf numFmtId="171" fontId="0" fillId="4" borderId="0" xfId="15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174" fontId="0" fillId="5" borderId="0" xfId="19" applyNumberFormat="1" applyFill="1" applyAlignment="1">
      <alignment/>
    </xf>
    <xf numFmtId="174" fontId="0" fillId="5" borderId="0" xfId="0" applyNumberFormat="1" applyFill="1" applyAlignment="1">
      <alignment/>
    </xf>
    <xf numFmtId="0" fontId="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center"/>
    </xf>
    <xf numFmtId="171" fontId="0" fillId="2" borderId="0" xfId="0" applyNumberFormat="1" applyFill="1" applyBorder="1" applyAlignment="1">
      <alignment/>
    </xf>
    <xf numFmtId="11" fontId="0" fillId="2" borderId="0" xfId="0" applyNumberFormat="1" applyFill="1" applyBorder="1" applyAlignment="1">
      <alignment horizontal="center"/>
    </xf>
    <xf numFmtId="180" fontId="0" fillId="2" borderId="6" xfId="0" applyNumberFormat="1" applyFill="1" applyBorder="1" applyAlignment="1">
      <alignment/>
    </xf>
    <xf numFmtId="171" fontId="0" fillId="2" borderId="6" xfId="0" applyNumberFormat="1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71" fontId="0" fillId="2" borderId="9" xfId="15" applyFill="1" applyBorder="1" applyAlignment="1">
      <alignment/>
    </xf>
    <xf numFmtId="171" fontId="0" fillId="2" borderId="10" xfId="15" applyFill="1" applyBorder="1" applyAlignment="1">
      <alignment/>
    </xf>
    <xf numFmtId="11" fontId="0" fillId="2" borderId="9" xfId="0" applyNumberFormat="1" applyFill="1" applyBorder="1" applyAlignment="1">
      <alignment horizontal="center"/>
    </xf>
    <xf numFmtId="11" fontId="0" fillId="2" borderId="10" xfId="0" applyNumberFormat="1" applyFill="1" applyBorder="1" applyAlignment="1">
      <alignment horizontal="center"/>
    </xf>
    <xf numFmtId="179" fontId="0" fillId="6" borderId="11" xfId="0" applyNumberFormat="1" applyFont="1" applyFill="1" applyBorder="1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3" xfId="0" applyFill="1" applyBorder="1" applyAlignment="1" quotePrefix="1">
      <alignment horizontal="center" vertical="center"/>
    </xf>
    <xf numFmtId="171" fontId="0" fillId="2" borderId="9" xfId="15" applyFill="1" applyBorder="1" applyAlignment="1">
      <alignment/>
    </xf>
    <xf numFmtId="171" fontId="0" fillId="2" borderId="10" xfId="15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 horizontal="center" vertical="center" wrapText="1"/>
    </xf>
    <xf numFmtId="179" fontId="0" fillId="2" borderId="0" xfId="0" applyNumberFormat="1" applyFont="1" applyFill="1" applyBorder="1" applyAlignment="1">
      <alignment/>
    </xf>
    <xf numFmtId="0" fontId="0" fillId="2" borderId="3" xfId="0" applyFill="1" applyBorder="1" applyAlignment="1">
      <alignment horizontal="center" vertical="center" wrapText="1"/>
    </xf>
    <xf numFmtId="171" fontId="0" fillId="2" borderId="9" xfId="0" applyNumberFormat="1" applyFill="1" applyBorder="1" applyAlignment="1">
      <alignment/>
    </xf>
    <xf numFmtId="171" fontId="0" fillId="2" borderId="10" xfId="0" applyNumberFormat="1" applyFill="1" applyBorder="1" applyAlignment="1">
      <alignment/>
    </xf>
    <xf numFmtId="174" fontId="0" fillId="2" borderId="7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71" fontId="0" fillId="6" borderId="10" xfId="0" applyNumberFormat="1" applyFill="1" applyBorder="1" applyAlignment="1">
      <alignment horizontal="center"/>
    </xf>
    <xf numFmtId="173" fontId="0" fillId="2" borderId="12" xfId="19" applyNumberFormat="1" applyFill="1" applyBorder="1" applyAlignment="1">
      <alignment/>
    </xf>
    <xf numFmtId="174" fontId="0" fillId="6" borderId="13" xfId="19" applyNumberFormat="1" applyFont="1" applyFill="1" applyBorder="1" applyAlignment="1">
      <alignment/>
    </xf>
    <xf numFmtId="0" fontId="0" fillId="2" borderId="5" xfId="0" applyFill="1" applyBorder="1" applyAlignment="1">
      <alignment/>
    </xf>
    <xf numFmtId="173" fontId="0" fillId="2" borderId="0" xfId="19" applyNumberFormat="1" applyFill="1" applyBorder="1" applyAlignment="1">
      <alignment/>
    </xf>
    <xf numFmtId="0" fontId="0" fillId="5" borderId="6" xfId="0" applyFill="1" applyBorder="1" applyAlignment="1">
      <alignment/>
    </xf>
    <xf numFmtId="174" fontId="0" fillId="2" borderId="0" xfId="19" applyNumberFormat="1" applyFill="1" applyBorder="1" applyAlignment="1">
      <alignment/>
    </xf>
    <xf numFmtId="174" fontId="0" fillId="6" borderId="6" xfId="19" applyNumberFormat="1" applyFill="1" applyBorder="1" applyAlignment="1">
      <alignment/>
    </xf>
    <xf numFmtId="0" fontId="0" fillId="2" borderId="7" xfId="0" applyFill="1" applyBorder="1" applyAlignment="1">
      <alignment/>
    </xf>
    <xf numFmtId="179" fontId="0" fillId="2" borderId="14" xfId="15" applyNumberFormat="1" applyFill="1" applyBorder="1" applyAlignment="1">
      <alignment horizontal="left"/>
    </xf>
    <xf numFmtId="176" fontId="0" fillId="6" borderId="15" xfId="0" applyNumberFormat="1" applyFill="1" applyBorder="1" applyAlignment="1">
      <alignment/>
    </xf>
    <xf numFmtId="173" fontId="0" fillId="2" borderId="0" xfId="19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171" fontId="0" fillId="2" borderId="0" xfId="15" applyFill="1" applyBorder="1" applyAlignment="1">
      <alignment/>
    </xf>
    <xf numFmtId="174" fontId="0" fillId="2" borderId="0" xfId="19" applyNumberFormat="1" applyFill="1" applyBorder="1" applyAlignment="1">
      <alignment horizontal="center"/>
    </xf>
    <xf numFmtId="174" fontId="0" fillId="2" borderId="0" xfId="19" applyNumberFormat="1" applyFont="1" applyFill="1" applyBorder="1" applyAlignment="1">
      <alignment/>
    </xf>
    <xf numFmtId="174" fontId="0" fillId="2" borderId="0" xfId="0" applyNumberFormat="1" applyFill="1" applyBorder="1" applyAlignment="1">
      <alignment/>
    </xf>
    <xf numFmtId="0" fontId="0" fillId="2" borderId="0" xfId="0" applyNumberFormat="1" applyFill="1" applyBorder="1" applyAlignment="1">
      <alignment horizontal="center"/>
    </xf>
    <xf numFmtId="174" fontId="0" fillId="2" borderId="16" xfId="0" applyNumberFormat="1" applyFill="1" applyBorder="1" applyAlignment="1">
      <alignment horizontal="center"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" xfId="0" applyFill="1" applyBorder="1" applyAlignment="1">
      <alignment/>
    </xf>
    <xf numFmtId="174" fontId="0" fillId="2" borderId="12" xfId="19" applyNumberFormat="1" applyFill="1" applyBorder="1" applyAlignment="1">
      <alignment/>
    </xf>
    <xf numFmtId="0" fontId="0" fillId="2" borderId="8" xfId="0" applyFill="1" applyBorder="1" applyAlignment="1">
      <alignment/>
    </xf>
    <xf numFmtId="0" fontId="4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74" fontId="0" fillId="6" borderId="6" xfId="19" applyNumberFormat="1" applyFill="1" applyBorder="1" applyAlignment="1">
      <alignment/>
    </xf>
    <xf numFmtId="174" fontId="7" fillId="2" borderId="8" xfId="0" applyNumberFormat="1" applyFont="1" applyFill="1" applyBorder="1" applyAlignment="1">
      <alignment horizontal="center" vertical="center" wrapText="1"/>
    </xf>
    <xf numFmtId="174" fontId="0" fillId="2" borderId="10" xfId="0" applyNumberFormat="1" applyFill="1" applyBorder="1" applyAlignment="1">
      <alignment horizontal="center"/>
    </xf>
    <xf numFmtId="9" fontId="0" fillId="2" borderId="9" xfId="19" applyFill="1" applyBorder="1" applyAlignment="1">
      <alignment horizontal="center"/>
    </xf>
    <xf numFmtId="183" fontId="0" fillId="5" borderId="0" xfId="0" applyNumberFormat="1" applyFill="1" applyAlignment="1">
      <alignment/>
    </xf>
    <xf numFmtId="171" fontId="9" fillId="2" borderId="3" xfId="0" applyNumberFormat="1" applyFont="1" applyFill="1" applyBorder="1" applyAlignment="1">
      <alignment horizontal="center" vertical="center" wrapText="1"/>
    </xf>
    <xf numFmtId="174" fontId="0" fillId="2" borderId="4" xfId="0" applyNumberFormat="1" applyFill="1" applyBorder="1" applyAlignment="1">
      <alignment horizontal="center"/>
    </xf>
    <xf numFmtId="174" fontId="0" fillId="2" borderId="12" xfId="19" applyNumberFormat="1" applyFill="1" applyBorder="1" applyAlignment="1">
      <alignment horizontal="center"/>
    </xf>
    <xf numFmtId="9" fontId="0" fillId="2" borderId="10" xfId="19" applyFill="1" applyBorder="1" applyAlignment="1">
      <alignment horizontal="center"/>
    </xf>
    <xf numFmtId="174" fontId="0" fillId="2" borderId="14" xfId="19" applyNumberFormat="1" applyFill="1" applyBorder="1" applyAlignment="1">
      <alignment horizontal="center"/>
    </xf>
    <xf numFmtId="171" fontId="0" fillId="2" borderId="9" xfId="15" applyFont="1" applyFill="1" applyBorder="1" applyAlignment="1">
      <alignment/>
    </xf>
    <xf numFmtId="174" fontId="0" fillId="2" borderId="0" xfId="0" applyNumberFormat="1" applyFill="1" applyAlignment="1">
      <alignment/>
    </xf>
    <xf numFmtId="11" fontId="0" fillId="5" borderId="9" xfId="0" applyNumberFormat="1" applyFill="1" applyBorder="1" applyAlignment="1">
      <alignment horizontal="center"/>
    </xf>
    <xf numFmtId="0" fontId="0" fillId="2" borderId="6" xfId="0" applyNumberFormat="1" applyFill="1" applyBorder="1" applyAlignment="1">
      <alignment horizontal="center"/>
    </xf>
    <xf numFmtId="175" fontId="0" fillId="2" borderId="6" xfId="0" applyNumberFormat="1" applyFill="1" applyBorder="1" applyAlignment="1">
      <alignment horizontal="center"/>
    </xf>
    <xf numFmtId="176" fontId="0" fillId="2" borderId="6" xfId="0" applyNumberFormat="1" applyFill="1" applyBorder="1" applyAlignment="1">
      <alignment horizontal="center"/>
    </xf>
    <xf numFmtId="9" fontId="0" fillId="2" borderId="6" xfId="19" applyNumberFormat="1" applyFill="1" applyBorder="1" applyAlignment="1">
      <alignment horizontal="center"/>
    </xf>
    <xf numFmtId="174" fontId="0" fillId="2" borderId="0" xfId="0" applyNumberFormat="1" applyFill="1" applyBorder="1" applyAlignment="1">
      <alignment horizontal="center"/>
    </xf>
    <xf numFmtId="171" fontId="0" fillId="2" borderId="0" xfId="0" applyNumberFormat="1" applyFill="1" applyBorder="1" applyAlignment="1">
      <alignment horizontal="center"/>
    </xf>
    <xf numFmtId="10" fontId="0" fillId="2" borderId="7" xfId="0" applyNumberFormat="1" applyFill="1" applyBorder="1" applyAlignment="1">
      <alignment horizontal="center"/>
    </xf>
    <xf numFmtId="186" fontId="0" fillId="5" borderId="10" xfId="0" applyNumberFormat="1" applyFill="1" applyBorder="1" applyAlignment="1">
      <alignment horizontal="center"/>
    </xf>
    <xf numFmtId="0" fontId="0" fillId="2" borderId="15" xfId="0" applyNumberFormat="1" applyFill="1" applyBorder="1" applyAlignment="1">
      <alignment horizontal="center"/>
    </xf>
    <xf numFmtId="9" fontId="0" fillId="2" borderId="15" xfId="19" applyNumberFormat="1" applyFill="1" applyBorder="1" applyAlignment="1">
      <alignment horizontal="center"/>
    </xf>
    <xf numFmtId="0" fontId="0" fillId="2" borderId="0" xfId="0" applyFill="1" applyAlignment="1">
      <alignment horizontal="right"/>
    </xf>
    <xf numFmtId="0" fontId="0" fillId="2" borderId="19" xfId="0" applyFill="1" applyBorder="1" applyAlignment="1">
      <alignment horizontal="center"/>
    </xf>
    <xf numFmtId="171" fontId="0" fillId="2" borderId="20" xfId="15" applyFill="1" applyBorder="1" applyAlignment="1">
      <alignment/>
    </xf>
    <xf numFmtId="11" fontId="0" fillId="5" borderId="20" xfId="0" applyNumberFormat="1" applyFill="1" applyBorder="1" applyAlignment="1">
      <alignment horizontal="center"/>
    </xf>
    <xf numFmtId="176" fontId="0" fillId="2" borderId="21" xfId="0" applyNumberFormat="1" applyFill="1" applyBorder="1" applyAlignment="1">
      <alignment horizontal="center"/>
    </xf>
    <xf numFmtId="175" fontId="0" fillId="2" borderId="21" xfId="0" applyNumberFormat="1" applyFill="1" applyBorder="1" applyAlignment="1">
      <alignment horizontal="center"/>
    </xf>
    <xf numFmtId="9" fontId="0" fillId="2" borderId="22" xfId="19" applyNumberForma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10" fontId="0" fillId="2" borderId="24" xfId="19" applyNumberFormat="1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171" fontId="0" fillId="5" borderId="26" xfId="15" applyFill="1" applyBorder="1" applyAlignment="1">
      <alignment/>
    </xf>
    <xf numFmtId="11" fontId="0" fillId="5" borderId="26" xfId="0" applyNumberFormat="1" applyFill="1" applyBorder="1" applyAlignment="1">
      <alignment horizontal="center"/>
    </xf>
    <xf numFmtId="176" fontId="0" fillId="2" borderId="27" xfId="0" applyNumberFormat="1" applyFill="1" applyBorder="1" applyAlignment="1">
      <alignment horizontal="center"/>
    </xf>
    <xf numFmtId="175" fontId="0" fillId="2" borderId="27" xfId="0" applyNumberFormat="1" applyFill="1" applyBorder="1" applyAlignment="1">
      <alignment horizontal="center"/>
    </xf>
    <xf numFmtId="10" fontId="0" fillId="2" borderId="28" xfId="19" applyNumberFormat="1" applyFill="1" applyBorder="1" applyAlignment="1">
      <alignment horizontal="center"/>
    </xf>
    <xf numFmtId="10" fontId="0" fillId="5" borderId="25" xfId="0" applyNumberFormat="1" applyFill="1" applyBorder="1" applyAlignment="1">
      <alignment/>
    </xf>
    <xf numFmtId="0" fontId="0" fillId="2" borderId="1" xfId="0" applyFill="1" applyBorder="1" applyAlignment="1">
      <alignment horizontal="left" vertical="center"/>
    </xf>
    <xf numFmtId="171" fontId="0" fillId="2" borderId="2" xfId="0" applyNumberFormat="1" applyFill="1" applyBorder="1" applyAlignment="1">
      <alignment horizontal="center" vertical="center"/>
    </xf>
    <xf numFmtId="171" fontId="0" fillId="2" borderId="8" xfId="0" applyNumberFormat="1" applyFill="1" applyBorder="1" applyAlignment="1">
      <alignment horizontal="center" vertical="center"/>
    </xf>
    <xf numFmtId="171" fontId="0" fillId="2" borderId="8" xfId="0" applyNumberFormat="1" applyFill="1" applyBorder="1" applyAlignment="1">
      <alignment horizontal="center"/>
    </xf>
    <xf numFmtId="9" fontId="0" fillId="2" borderId="6" xfId="19" applyNumberFormat="1" applyFill="1" applyBorder="1" applyAlignment="1">
      <alignment horizontal="center"/>
    </xf>
    <xf numFmtId="9" fontId="0" fillId="2" borderId="22" xfId="19" applyNumberFormat="1" applyFill="1" applyBorder="1" applyAlignment="1">
      <alignment horizontal="center"/>
    </xf>
    <xf numFmtId="10" fontId="0" fillId="2" borderId="24" xfId="19" applyNumberFormat="1" applyFill="1" applyBorder="1" applyAlignment="1">
      <alignment horizontal="center"/>
    </xf>
    <xf numFmtId="10" fontId="0" fillId="2" borderId="28" xfId="19" applyNumberFormat="1" applyFill="1" applyBorder="1" applyAlignment="1">
      <alignment horizontal="center"/>
    </xf>
    <xf numFmtId="9" fontId="0" fillId="2" borderId="15" xfId="19" applyNumberFormat="1" applyFill="1" applyBorder="1" applyAlignment="1">
      <alignment horizontal="center"/>
    </xf>
    <xf numFmtId="176" fontId="0" fillId="6" borderId="13" xfId="19" applyNumberFormat="1" applyFont="1" applyFill="1" applyBorder="1" applyAlignment="1">
      <alignment/>
    </xf>
    <xf numFmtId="179" fontId="0" fillId="2" borderId="0" xfId="15" applyNumberFormat="1" applyFill="1" applyBorder="1" applyAlignment="1">
      <alignment horizontal="left"/>
    </xf>
    <xf numFmtId="174" fontId="0" fillId="2" borderId="14" xfId="19" applyNumberFormat="1" applyFill="1" applyBorder="1" applyAlignment="1">
      <alignment/>
    </xf>
    <xf numFmtId="176" fontId="0" fillId="6" borderId="15" xfId="19" applyNumberFormat="1" applyFill="1" applyBorder="1" applyAlignment="1">
      <alignment/>
    </xf>
    <xf numFmtId="171" fontId="0" fillId="2" borderId="6" xfId="19" applyNumberFormat="1" applyFill="1" applyBorder="1" applyAlignment="1">
      <alignment horizontal="center"/>
    </xf>
    <xf numFmtId="171" fontId="0" fillId="2" borderId="15" xfId="19" applyNumberFormat="1" applyFill="1" applyBorder="1" applyAlignment="1">
      <alignment horizontal="center"/>
    </xf>
    <xf numFmtId="171" fontId="0" fillId="2" borderId="26" xfId="15" applyFill="1" applyBorder="1" applyAlignment="1">
      <alignment/>
    </xf>
    <xf numFmtId="176" fontId="0" fillId="2" borderId="29" xfId="0" applyNumberFormat="1" applyFill="1" applyBorder="1" applyAlignment="1">
      <alignment horizontal="center"/>
    </xf>
    <xf numFmtId="176" fontId="0" fillId="2" borderId="0" xfId="0" applyNumberFormat="1" applyFill="1" applyBorder="1" applyAlignment="1">
      <alignment horizontal="center"/>
    </xf>
    <xf numFmtId="176" fontId="0" fillId="2" borderId="30" xfId="0" applyNumberFormat="1" applyFill="1" applyBorder="1" applyAlignment="1">
      <alignment horizontal="center"/>
    </xf>
    <xf numFmtId="176" fontId="0" fillId="2" borderId="0" xfId="0" applyNumberFormat="1" applyFill="1" applyBorder="1" applyAlignment="1">
      <alignment/>
    </xf>
    <xf numFmtId="11" fontId="0" fillId="2" borderId="20" xfId="0" applyNumberFormat="1" applyFill="1" applyBorder="1" applyAlignment="1">
      <alignment horizontal="center"/>
    </xf>
    <xf numFmtId="11" fontId="0" fillId="2" borderId="26" xfId="0" applyNumberFormat="1" applyFill="1" applyBorder="1" applyAlignment="1">
      <alignment horizontal="center"/>
    </xf>
    <xf numFmtId="1" fontId="0" fillId="5" borderId="6" xfId="0" applyNumberFormat="1" applyFill="1" applyBorder="1" applyAlignment="1">
      <alignment/>
    </xf>
    <xf numFmtId="10" fontId="0" fillId="5" borderId="30" xfId="0" applyNumberFormat="1" applyFill="1" applyBorder="1" applyAlignment="1">
      <alignment/>
    </xf>
    <xf numFmtId="0" fontId="0" fillId="2" borderId="31" xfId="0" applyFill="1" applyBorder="1" applyAlignment="1">
      <alignment horizontal="center"/>
    </xf>
    <xf numFmtId="9" fontId="0" fillId="2" borderId="21" xfId="19" applyNumberFormat="1" applyFill="1" applyBorder="1" applyAlignment="1">
      <alignment horizontal="center"/>
    </xf>
    <xf numFmtId="10" fontId="0" fillId="2" borderId="6" xfId="19" applyNumberFormat="1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10" fontId="0" fillId="2" borderId="27" xfId="19" applyNumberFormat="1" applyFill="1" applyBorder="1" applyAlignment="1">
      <alignment horizontal="center"/>
    </xf>
    <xf numFmtId="171" fontId="0" fillId="2" borderId="20" xfId="0" applyNumberFormat="1" applyFill="1" applyBorder="1" applyAlignment="1">
      <alignment/>
    </xf>
    <xf numFmtId="171" fontId="0" fillId="5" borderId="26" xfId="0" applyNumberFormat="1" applyFill="1" applyBorder="1" applyAlignment="1">
      <alignment/>
    </xf>
    <xf numFmtId="9" fontId="0" fillId="2" borderId="0" xfId="19" applyFill="1" applyBorder="1" applyAlignment="1">
      <alignment horizontal="center"/>
    </xf>
    <xf numFmtId="9" fontId="0" fillId="2" borderId="29" xfId="19" applyFill="1" applyBorder="1" applyAlignment="1">
      <alignment horizontal="center"/>
    </xf>
    <xf numFmtId="9" fontId="0" fillId="2" borderId="30" xfId="19" applyFill="1" applyBorder="1" applyAlignment="1">
      <alignment horizontal="center"/>
    </xf>
    <xf numFmtId="9" fontId="0" fillId="2" borderId="14" xfId="19" applyFill="1" applyBorder="1" applyAlignment="1">
      <alignment horizontal="center"/>
    </xf>
    <xf numFmtId="0" fontId="0" fillId="2" borderId="14" xfId="0" applyNumberFormat="1" applyFill="1" applyBorder="1" applyAlignment="1">
      <alignment horizontal="center"/>
    </xf>
    <xf numFmtId="0" fontId="0" fillId="2" borderId="16" xfId="0" applyNumberFormat="1" applyFill="1" applyBorder="1" applyAlignment="1">
      <alignment horizontal="center"/>
    </xf>
    <xf numFmtId="0" fontId="0" fillId="2" borderId="9" xfId="0" applyNumberFormat="1" applyFill="1" applyBorder="1" applyAlignment="1">
      <alignment horizontal="center"/>
    </xf>
    <xf numFmtId="175" fontId="0" fillId="2" borderId="20" xfId="0" applyNumberFormat="1" applyFill="1" applyBorder="1" applyAlignment="1">
      <alignment horizontal="center"/>
    </xf>
    <xf numFmtId="175" fontId="0" fillId="2" borderId="9" xfId="0" applyNumberFormat="1" applyFill="1" applyBorder="1" applyAlignment="1">
      <alignment horizontal="center"/>
    </xf>
    <xf numFmtId="175" fontId="0" fillId="2" borderId="26" xfId="0" applyNumberFormat="1" applyFill="1" applyBorder="1" applyAlignment="1">
      <alignment horizontal="center"/>
    </xf>
    <xf numFmtId="0" fontId="0" fillId="2" borderId="10" xfId="0" applyNumberFormat="1" applyFill="1" applyBorder="1" applyAlignment="1">
      <alignment horizontal="center"/>
    </xf>
    <xf numFmtId="176" fontId="0" fillId="5" borderId="3" xfId="0" applyNumberFormat="1" applyFill="1" applyBorder="1" applyAlignment="1">
      <alignment horizontal="center"/>
    </xf>
    <xf numFmtId="0" fontId="0" fillId="2" borderId="13" xfId="0" applyFill="1" applyBorder="1" applyAlignment="1">
      <alignment horizontal="center" vertical="center" wrapText="1"/>
    </xf>
    <xf numFmtId="9" fontId="0" fillId="2" borderId="20" xfId="19" applyFill="1" applyBorder="1" applyAlignment="1">
      <alignment horizontal="center"/>
    </xf>
    <xf numFmtId="9" fontId="0" fillId="2" borderId="26" xfId="19" applyFill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10" fontId="0" fillId="2" borderId="16" xfId="19" applyNumberFormat="1" applyFill="1" applyBorder="1" applyAlignment="1">
      <alignment horizontal="center"/>
    </xf>
    <xf numFmtId="10" fontId="0" fillId="2" borderId="10" xfId="19" applyNumberForma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174" fontId="0" fillId="7" borderId="0" xfId="19" applyNumberFormat="1" applyFill="1" applyAlignment="1">
      <alignment horizontal="right"/>
    </xf>
    <xf numFmtId="174" fontId="0" fillId="5" borderId="0" xfId="19" applyNumberFormat="1" applyFill="1" applyAlignment="1">
      <alignment horizontal="right"/>
    </xf>
    <xf numFmtId="174" fontId="0" fillId="4" borderId="0" xfId="19" applyNumberFormat="1" applyFill="1" applyAlignment="1">
      <alignment horizontal="right"/>
    </xf>
    <xf numFmtId="179" fontId="0" fillId="6" borderId="0" xfId="15" applyNumberFormat="1" applyFill="1" applyAlignment="1">
      <alignment horizontal="right"/>
    </xf>
    <xf numFmtId="179" fontId="0" fillId="4" borderId="0" xfId="15" applyNumberFormat="1" applyFill="1" applyAlignment="1">
      <alignment horizontal="right"/>
    </xf>
    <xf numFmtId="184" fontId="0" fillId="5" borderId="0" xfId="0" applyNumberFormat="1" applyFill="1" applyAlignment="1">
      <alignment horizontal="right"/>
    </xf>
    <xf numFmtId="193" fontId="0" fillId="2" borderId="0" xfId="0" applyNumberFormat="1" applyFill="1" applyAlignment="1">
      <alignment horizontal="right"/>
    </xf>
    <xf numFmtId="2" fontId="0" fillId="2" borderId="9" xfId="0" applyNumberFormat="1" applyFill="1" applyBorder="1" applyAlignment="1">
      <alignment horizontal="center"/>
    </xf>
    <xf numFmtId="2" fontId="0" fillId="2" borderId="20" xfId="0" applyNumberFormat="1" applyFill="1" applyBorder="1" applyAlignment="1">
      <alignment horizontal="center"/>
    </xf>
    <xf numFmtId="2" fontId="0" fillId="2" borderId="26" xfId="0" applyNumberFormat="1" applyFill="1" applyBorder="1" applyAlignment="1">
      <alignment horizontal="center"/>
    </xf>
    <xf numFmtId="171" fontId="0" fillId="2" borderId="9" xfId="0" applyNumberFormat="1" applyFill="1" applyBorder="1" applyAlignment="1">
      <alignment horizontal="center"/>
    </xf>
    <xf numFmtId="171" fontId="0" fillId="2" borderId="10" xfId="0" applyNumberFormat="1" applyFill="1" applyBorder="1" applyAlignment="1">
      <alignment horizontal="center"/>
    </xf>
    <xf numFmtId="174" fontId="0" fillId="5" borderId="33" xfId="0" applyNumberFormat="1" applyFill="1" applyBorder="1" applyAlignment="1">
      <alignment/>
    </xf>
    <xf numFmtId="174" fontId="0" fillId="7" borderId="34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risk-free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summary!$D$8:$D$8</c:f>
              <c:numCache/>
            </c:numRef>
          </c:xVal>
          <c:yVal>
            <c:numRef>
              <c:f>summary!$D$7:$D$7</c:f>
              <c:numCache/>
            </c:numRef>
          </c:yVal>
          <c:smooth val="0"/>
        </c:ser>
        <c:ser>
          <c:idx val="1"/>
          <c:order val="1"/>
          <c:tx>
            <c:v>stock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summary!$E$8</c:f>
              <c:numCache/>
            </c:numRef>
          </c:xVal>
          <c:yVal>
            <c:numRef>
              <c:f>summary!$E$7</c:f>
              <c:numCache/>
            </c:numRef>
          </c:yVal>
          <c:smooth val="0"/>
        </c:ser>
        <c:ser>
          <c:idx val="2"/>
          <c:order val="2"/>
          <c:tx>
            <c:v>options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summary!$F$8</c:f>
              <c:numCache/>
            </c:numRef>
          </c:xVal>
          <c:yVal>
            <c:numRef>
              <c:f>summary!$F$7</c:f>
              <c:numCache/>
            </c:numRef>
          </c:yVal>
          <c:smooth val="0"/>
        </c:ser>
        <c:ser>
          <c:idx val="3"/>
          <c:order val="3"/>
          <c:tx>
            <c:v>bull spread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summary!$G$8</c:f>
              <c:numCache/>
            </c:numRef>
          </c:xVal>
          <c:yVal>
            <c:numRef>
              <c:f>summary!$G$7</c:f>
              <c:numCache/>
            </c:numRef>
          </c:yVal>
          <c:smooth val="0"/>
        </c:ser>
        <c:ser>
          <c:idx val="4"/>
          <c:order val="4"/>
          <c:tx>
            <c:v>portfolio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summary!$H$8</c:f>
              <c:numCache/>
            </c:numRef>
          </c:xVal>
          <c:yVal>
            <c:numRef>
              <c:f>summary!$H$7</c:f>
              <c:numCache/>
            </c:numRef>
          </c:yVal>
          <c:smooth val="0"/>
        </c:ser>
        <c:axId val="38653567"/>
        <c:axId val="12337784"/>
      </c:scatterChart>
      <c:valAx>
        <c:axId val="38653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 CE"/>
                    <a:ea typeface="Arial CE"/>
                    <a:cs typeface="Arial CE"/>
                  </a:rPr>
                  <a:t>risk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337784"/>
        <c:crosses val="autoZero"/>
        <c:crossBetween val="midCat"/>
        <c:dispUnits/>
      </c:valAx>
      <c:valAx>
        <c:axId val="123377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 CE"/>
                    <a:ea typeface="Arial CE"/>
                    <a:cs typeface="Arial CE"/>
                  </a:rPr>
                  <a:t>return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6535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</xdr:row>
      <xdr:rowOff>104775</xdr:rowOff>
    </xdr:from>
    <xdr:to>
      <xdr:col>9</xdr:col>
      <xdr:colOff>790575</xdr:colOff>
      <xdr:row>31</xdr:row>
      <xdr:rowOff>114300</xdr:rowOff>
    </xdr:to>
    <xdr:graphicFrame>
      <xdr:nvGraphicFramePr>
        <xdr:cNvPr id="1" name="Chart 1"/>
        <xdr:cNvGraphicFramePr/>
      </xdr:nvGraphicFramePr>
      <xdr:xfrm>
        <a:off x="209550" y="1743075"/>
        <a:ext cx="77438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476250</xdr:colOff>
      <xdr:row>11</xdr:row>
      <xdr:rowOff>85725</xdr:rowOff>
    </xdr:from>
    <xdr:to>
      <xdr:col>6</xdr:col>
      <xdr:colOff>942975</xdr:colOff>
      <xdr:row>29</xdr:row>
      <xdr:rowOff>85725</xdr:rowOff>
    </xdr:to>
    <xdr:sp>
      <xdr:nvSpPr>
        <xdr:cNvPr id="2" name="Line 7"/>
        <xdr:cNvSpPr>
          <a:spLocks/>
        </xdr:cNvSpPr>
      </xdr:nvSpPr>
      <xdr:spPr>
        <a:xfrm flipV="1">
          <a:off x="657225" y="1885950"/>
          <a:ext cx="4791075" cy="2914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oleObject" Target="../embeddings/oleObject_6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3"/>
  <sheetViews>
    <sheetView workbookViewId="0" topLeftCell="A1">
      <selection activeCell="A1" sqref="A1"/>
    </sheetView>
  </sheetViews>
  <sheetFormatPr defaultColWidth="9.00390625" defaultRowHeight="12.75"/>
  <cols>
    <col min="1" max="1" width="2.375" style="2" customWidth="1"/>
    <col min="2" max="2" width="27.875" style="2" customWidth="1"/>
    <col min="3" max="3" width="12.00390625" style="2" bestFit="1" customWidth="1"/>
    <col min="4" max="4" width="12.25390625" style="2" bestFit="1" customWidth="1"/>
    <col min="5" max="5" width="6.00390625" style="2" customWidth="1"/>
    <col min="6" max="6" width="12.00390625" style="2" bestFit="1" customWidth="1"/>
    <col min="7" max="16384" width="9.125" style="2" customWidth="1"/>
  </cols>
  <sheetData>
    <row r="1" s="3" customFormat="1" ht="12.75">
      <c r="B1" s="3" t="s">
        <v>0</v>
      </c>
    </row>
    <row r="2" s="3" customFormat="1" ht="12.75">
      <c r="B2" s="3" t="s">
        <v>1</v>
      </c>
    </row>
    <row r="3" s="1" customFormat="1" ht="12.75">
      <c r="B3" s="1" t="s">
        <v>74</v>
      </c>
    </row>
    <row r="5" spans="2:6" ht="12.75">
      <c r="B5" t="s">
        <v>14</v>
      </c>
      <c r="C5" s="2" t="s">
        <v>11</v>
      </c>
      <c r="D5" s="8">
        <v>0.12</v>
      </c>
      <c r="F5" s="4" t="s">
        <v>2</v>
      </c>
    </row>
    <row r="6" spans="2:6" ht="12.75">
      <c r="B6" s="2" t="s">
        <v>6</v>
      </c>
      <c r="C6" s="2" t="s">
        <v>10</v>
      </c>
      <c r="D6" s="4">
        <v>360</v>
      </c>
      <c r="F6" s="5" t="s">
        <v>3</v>
      </c>
    </row>
    <row r="7" spans="2:6" ht="12.75">
      <c r="B7" s="2" t="s">
        <v>7</v>
      </c>
      <c r="C7" s="2" t="s">
        <v>9</v>
      </c>
      <c r="D7" s="4">
        <v>20</v>
      </c>
      <c r="F7" s="6" t="s">
        <v>4</v>
      </c>
    </row>
    <row r="8" spans="2:4" ht="12.75">
      <c r="B8" s="2" t="s">
        <v>21</v>
      </c>
      <c r="C8" s="2" t="s">
        <v>34</v>
      </c>
      <c r="D8" s="12">
        <f>(1+r_f)^(1/d_year)-1</f>
        <v>0.00031485145894971645</v>
      </c>
    </row>
    <row r="9" spans="2:4" ht="12.75">
      <c r="B9" s="2" t="s">
        <v>8</v>
      </c>
      <c r="C9" s="2" t="s">
        <v>35</v>
      </c>
      <c r="D9" s="12">
        <f>(1+r_f_day)^d_hor-1</f>
        <v>0.006315899781798029</v>
      </c>
    </row>
    <row r="11" spans="2:4" ht="12.75">
      <c r="B11" s="2" t="s">
        <v>12</v>
      </c>
      <c r="C11" s="2" t="s">
        <v>13</v>
      </c>
      <c r="D11" s="9">
        <v>15000</v>
      </c>
    </row>
    <row r="13" spans="2:4" ht="12.75">
      <c r="B13" s="2" t="s">
        <v>15</v>
      </c>
      <c r="C13" s="2" t="s">
        <v>16</v>
      </c>
      <c r="D13" s="8">
        <v>0.31</v>
      </c>
    </row>
    <row r="14" spans="2:4" ht="12.75">
      <c r="B14" s="2" t="s">
        <v>22</v>
      </c>
      <c r="C14" s="2" t="s">
        <v>36</v>
      </c>
      <c r="D14" s="13">
        <f>(1+k_stock)^(1/d_year)-1</f>
        <v>0.0007503567580329218</v>
      </c>
    </row>
    <row r="15" spans="2:4" ht="12.75">
      <c r="B15" s="2" t="s">
        <v>18</v>
      </c>
      <c r="C15" s="2" t="s">
        <v>17</v>
      </c>
      <c r="D15" s="12">
        <f>(1+k_stock_day)^d_hor-1</f>
        <v>0.0151145950246232</v>
      </c>
    </row>
    <row r="16" ht="12.75">
      <c r="D16" s="10"/>
    </row>
    <row r="17" spans="2:4" ht="12.75">
      <c r="B17" s="2" t="s">
        <v>20</v>
      </c>
      <c r="C17" s="2" t="s">
        <v>19</v>
      </c>
      <c r="D17" s="4">
        <v>60</v>
      </c>
    </row>
    <row r="18" spans="2:4" ht="12.75">
      <c r="B18" s="2" t="s">
        <v>23</v>
      </c>
      <c r="C18" s="2" t="s">
        <v>24</v>
      </c>
      <c r="D18" s="4">
        <v>2.112</v>
      </c>
    </row>
    <row r="19" spans="2:4" ht="12.75">
      <c r="B19" s="2" t="s">
        <v>25</v>
      </c>
      <c r="C19" s="2" t="s">
        <v>26</v>
      </c>
      <c r="D19" s="4">
        <v>60</v>
      </c>
    </row>
    <row r="20" spans="2:4" ht="12.75">
      <c r="B20" s="2" t="s">
        <v>69</v>
      </c>
      <c r="C20" s="2" t="s">
        <v>70</v>
      </c>
      <c r="D20" s="73">
        <f>S_0*(1+r_f_hor)</f>
        <v>60.37895398690788</v>
      </c>
    </row>
    <row r="21" spans="2:4" ht="12.75">
      <c r="B21" s="2" t="s">
        <v>72</v>
      </c>
      <c r="C21" s="2" t="s">
        <v>73</v>
      </c>
      <c r="D21" s="4">
        <v>12</v>
      </c>
    </row>
    <row r="23" spans="2:4" ht="12.75">
      <c r="B23" s="2" t="s">
        <v>29</v>
      </c>
      <c r="C23" s="2" t="s">
        <v>30</v>
      </c>
      <c r="D23" s="4">
        <v>0.5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5"/>
  <sheetViews>
    <sheetView workbookViewId="0" topLeftCell="A1">
      <selection activeCell="G8" sqref="G8"/>
    </sheetView>
  </sheetViews>
  <sheetFormatPr defaultColWidth="9.00390625" defaultRowHeight="12.75"/>
  <cols>
    <col min="1" max="1" width="2.375" style="2" customWidth="1"/>
    <col min="2" max="2" width="11.00390625" style="2" customWidth="1"/>
    <col min="3" max="3" width="10.75390625" style="2" bestFit="1" customWidth="1"/>
    <col min="4" max="4" width="10.125" style="2" customWidth="1"/>
    <col min="5" max="5" width="14.375" style="2" bestFit="1" customWidth="1"/>
    <col min="6" max="6" width="10.75390625" style="2" bestFit="1" customWidth="1"/>
    <col min="7" max="7" width="12.125" style="2" bestFit="1" customWidth="1"/>
    <col min="8" max="8" width="9.125" style="2" customWidth="1"/>
    <col min="9" max="9" width="12.125" style="2" bestFit="1" customWidth="1"/>
    <col min="10" max="16384" width="9.125" style="2" customWidth="1"/>
  </cols>
  <sheetData>
    <row r="1" s="3" customFormat="1" ht="12.75">
      <c r="B1" s="3" t="s">
        <v>0</v>
      </c>
    </row>
    <row r="2" s="3" customFormat="1" ht="12.75">
      <c r="B2" s="3" t="s">
        <v>1</v>
      </c>
    </row>
    <row r="3" spans="2:5" s="1" customFormat="1" ht="12.75">
      <c r="B3" s="1" t="s">
        <v>74</v>
      </c>
      <c r="C3" s="14" t="s">
        <v>43</v>
      </c>
      <c r="D3" s="15"/>
      <c r="E3" s="16"/>
    </row>
    <row r="5" spans="2:9" ht="12.75">
      <c r="B5" s="2" t="s">
        <v>27</v>
      </c>
      <c r="C5" s="162">
        <v>0.018571</v>
      </c>
      <c r="D5" s="11" t="s">
        <v>44</v>
      </c>
      <c r="I5" s="4" t="s">
        <v>2</v>
      </c>
    </row>
    <row r="6" spans="2:9" ht="12.75">
      <c r="B6" s="2" t="s">
        <v>28</v>
      </c>
      <c r="C6" s="163">
        <f>(C7-Data!p*U)/(1-Data!p)</f>
        <v>-0.017070286483934157</v>
      </c>
      <c r="D6" s="2" t="s">
        <v>39</v>
      </c>
      <c r="I6" s="5" t="s">
        <v>3</v>
      </c>
    </row>
    <row r="7" spans="2:9" ht="12.75">
      <c r="B7" s="2" t="s">
        <v>31</v>
      </c>
      <c r="C7" s="164">
        <f>k_stock_day</f>
        <v>0.0007503567580329218</v>
      </c>
      <c r="D7" s="2" t="s">
        <v>40</v>
      </c>
      <c r="I7" s="6" t="s">
        <v>4</v>
      </c>
    </row>
    <row r="8" spans="2:9" ht="12.75">
      <c r="B8" s="2" t="s">
        <v>23</v>
      </c>
      <c r="C8" s="165">
        <f>SUM(F14:F34)</f>
        <v>2.111957639856196</v>
      </c>
      <c r="D8" s="2" t="s">
        <v>42</v>
      </c>
      <c r="I8" s="7" t="s">
        <v>5</v>
      </c>
    </row>
    <row r="9" spans="2:4" ht="12.75">
      <c r="B9" s="2" t="s">
        <v>32</v>
      </c>
      <c r="C9" s="166">
        <f>Data!D18</f>
        <v>2.112</v>
      </c>
      <c r="D9" s="2" t="s">
        <v>40</v>
      </c>
    </row>
    <row r="10" spans="2:4" ht="12.75">
      <c r="B10" s="2" t="s">
        <v>33</v>
      </c>
      <c r="C10" s="168">
        <f>C8-C9</f>
        <v>-4.236014380420983E-05</v>
      </c>
      <c r="D10" s="2" t="s">
        <v>48</v>
      </c>
    </row>
    <row r="11" spans="2:4" ht="12.75">
      <c r="B11" s="2" t="s">
        <v>37</v>
      </c>
      <c r="C11" s="167">
        <f>(r_f_day-D)/(U-D)</f>
        <v>0.48778087599953734</v>
      </c>
      <c r="D11" s="2" t="s">
        <v>41</v>
      </c>
    </row>
    <row r="13" spans="2:6" ht="25.5">
      <c r="B13" s="30" t="s">
        <v>46</v>
      </c>
      <c r="C13" s="31" t="s">
        <v>47</v>
      </c>
      <c r="D13" s="31" t="s">
        <v>56</v>
      </c>
      <c r="E13" s="31" t="s">
        <v>45</v>
      </c>
      <c r="F13" s="32" t="s">
        <v>38</v>
      </c>
    </row>
    <row r="14" spans="2:6" ht="12.75">
      <c r="B14" s="18">
        <v>20</v>
      </c>
      <c r="C14" s="25">
        <f>S_0*(1+U)^B14*(1+D)^(20-B14)</f>
        <v>86.69167465981542</v>
      </c>
      <c r="D14" s="39">
        <f>MAX(C14-X,0)/(1+r_f_hor)</f>
        <v>26.524150781681023</v>
      </c>
      <c r="E14" s="27">
        <f>BINOMDIST(B14,20,p_rn,0)</f>
        <v>5.81427255266746E-07</v>
      </c>
      <c r="F14" s="21">
        <f>D14*E14</f>
        <v>1.5421864187274113E-05</v>
      </c>
    </row>
    <row r="15" spans="2:6" ht="12.75">
      <c r="B15" s="18">
        <v>19</v>
      </c>
      <c r="C15" s="25">
        <f aca="true" t="shared" si="0" ref="C15:C34">S_0*(1+U)^B15*(1+D)^(20-B15)</f>
        <v>83.65820638679126</v>
      </c>
      <c r="D15" s="39">
        <f aca="true" t="shared" si="1" ref="D15:D34">MAX(C15-X,0)/(1+r_f_hor)</f>
        <v>23.509721342891563</v>
      </c>
      <c r="E15" s="27">
        <f aca="true" t="shared" si="2" ref="E15:E34">BINOMDIST(B15,20,p_rn,0)</f>
        <v>1.2211145373522548E-05</v>
      </c>
      <c r="F15" s="21">
        <f aca="true" t="shared" si="3" ref="F15:F34">D15*E15</f>
        <v>0.0002870806250090546</v>
      </c>
    </row>
    <row r="16" spans="2:6" ht="12.75">
      <c r="B16" s="18">
        <v>18</v>
      </c>
      <c r="C16" s="25">
        <f t="shared" si="0"/>
        <v>80.73088359774296</v>
      </c>
      <c r="D16" s="39">
        <f t="shared" si="1"/>
        <v>20.600771191469885</v>
      </c>
      <c r="E16" s="27">
        <f t="shared" si="2"/>
        <v>0.00012181787702887008</v>
      </c>
      <c r="F16" s="21">
        <f t="shared" si="3"/>
        <v>0.002509542211702368</v>
      </c>
    </row>
    <row r="17" spans="2:6" ht="12.75">
      <c r="B17" s="18">
        <v>17</v>
      </c>
      <c r="C17" s="25">
        <f t="shared" si="0"/>
        <v>77.90599210720546</v>
      </c>
      <c r="D17" s="39">
        <f t="shared" si="1"/>
        <v>17.79360945314296</v>
      </c>
      <c r="E17" s="27">
        <f t="shared" si="2"/>
        <v>0.0007675263545106655</v>
      </c>
      <c r="F17" s="21">
        <f t="shared" si="3"/>
        <v>0.013657064197157332</v>
      </c>
    </row>
    <row r="18" spans="2:6" ht="12.75">
      <c r="B18" s="18">
        <v>16</v>
      </c>
      <c r="C18" s="25">
        <f t="shared" si="0"/>
        <v>75.17994769448605</v>
      </c>
      <c r="D18" s="39">
        <f t="shared" si="1"/>
        <v>15.084674402717429</v>
      </c>
      <c r="E18" s="27">
        <f t="shared" si="2"/>
        <v>0.0034254154052959424</v>
      </c>
      <c r="F18" s="21">
        <f t="shared" si="3"/>
        <v>0.05167127608294165</v>
      </c>
    </row>
    <row r="19" spans="2:6" ht="12.75">
      <c r="B19" s="18">
        <v>15</v>
      </c>
      <c r="C19" s="25">
        <f t="shared" si="0"/>
        <v>72.54929155600739</v>
      </c>
      <c r="D19" s="39">
        <f t="shared" si="1"/>
        <v>12.470528944964979</v>
      </c>
      <c r="E19" s="27">
        <f t="shared" si="2"/>
        <v>0.011510501470271104</v>
      </c>
      <c r="F19" s="21">
        <f t="shared" si="3"/>
        <v>0.14354204175607777</v>
      </c>
    </row>
    <row r="20" spans="2:6" ht="12.75">
      <c r="B20" s="18">
        <v>14</v>
      </c>
      <c r="C20" s="25">
        <f t="shared" si="0"/>
        <v>70.01068591677937</v>
      </c>
      <c r="D20" s="39">
        <f t="shared" si="1"/>
        <v>9.947856253637658</v>
      </c>
      <c r="E20" s="27">
        <f t="shared" si="2"/>
        <v>0.030217969123055088</v>
      </c>
      <c r="F20" s="21">
        <f t="shared" si="3"/>
        <v>0.3006040131130132</v>
      </c>
    </row>
    <row r="21" spans="2:6" ht="12.75">
      <c r="B21" s="18">
        <v>13</v>
      </c>
      <c r="C21" s="25">
        <f t="shared" si="0"/>
        <v>67.56090979543225</v>
      </c>
      <c r="D21" s="39">
        <f t="shared" si="1"/>
        <v>7.513455563080841</v>
      </c>
      <c r="E21" s="27">
        <f t="shared" si="2"/>
        <v>0.06346383154758602</v>
      </c>
      <c r="F21" s="21">
        <f t="shared" si="3"/>
        <v>0.4768326781956355</v>
      </c>
    </row>
    <row r="22" spans="2:6" ht="12.75">
      <c r="B22" s="18">
        <v>12</v>
      </c>
      <c r="C22" s="25">
        <f t="shared" si="0"/>
        <v>65.19685491743726</v>
      </c>
      <c r="D22" s="39">
        <f t="shared" si="1"/>
        <v>5.164238107103456</v>
      </c>
      <c r="E22" s="27">
        <f t="shared" si="2"/>
        <v>0.10829556554140815</v>
      </c>
      <c r="F22" s="21">
        <f t="shared" si="3"/>
        <v>0.5592640863992598</v>
      </c>
    </row>
    <row r="23" spans="2:6" ht="12.75">
      <c r="B23" s="18">
        <v>11</v>
      </c>
      <c r="C23" s="25">
        <f t="shared" si="0"/>
        <v>62.91552177132976</v>
      </c>
      <c r="D23" s="39">
        <f t="shared" si="1"/>
        <v>2.897223199953352</v>
      </c>
      <c r="E23" s="27">
        <f t="shared" si="2"/>
        <v>0.15162835730582522</v>
      </c>
      <c r="F23" s="21">
        <f t="shared" si="3"/>
        <v>0.43930119455725314</v>
      </c>
    </row>
    <row r="24" spans="2:6" ht="12.75">
      <c r="B24" s="18">
        <v>10</v>
      </c>
      <c r="C24" s="25">
        <f t="shared" si="0"/>
        <v>60.71401580293074</v>
      </c>
      <c r="D24" s="39">
        <f t="shared" si="1"/>
        <v>0.7095344544248585</v>
      </c>
      <c r="E24" s="27">
        <f t="shared" si="2"/>
        <v>0.17514757751220625</v>
      </c>
      <c r="F24" s="21">
        <f t="shared" si="3"/>
        <v>0.12427324085395888</v>
      </c>
    </row>
    <row r="25" spans="2:6" ht="12.75">
      <c r="B25" s="18">
        <v>9</v>
      </c>
      <c r="C25" s="25">
        <f t="shared" si="0"/>
        <v>58.589543742738236</v>
      </c>
      <c r="D25" s="39">
        <f t="shared" si="1"/>
        <v>0</v>
      </c>
      <c r="E25" s="27">
        <f t="shared" si="2"/>
        <v>0.16720238559106718</v>
      </c>
      <c r="F25" s="22">
        <f t="shared" si="3"/>
        <v>0</v>
      </c>
    </row>
    <row r="26" spans="2:6" ht="12.75">
      <c r="B26" s="18">
        <v>8</v>
      </c>
      <c r="C26" s="25">
        <f t="shared" si="0"/>
        <v>56.539410061828484</v>
      </c>
      <c r="D26" s="39">
        <f t="shared" si="1"/>
        <v>0</v>
      </c>
      <c r="E26" s="27">
        <f t="shared" si="2"/>
        <v>0.1316845283797965</v>
      </c>
      <c r="F26" s="22">
        <f t="shared" si="3"/>
        <v>0</v>
      </c>
    </row>
    <row r="27" spans="2:6" ht="12.75">
      <c r="B27" s="18">
        <v>7</v>
      </c>
      <c r="C27" s="25">
        <f t="shared" si="0"/>
        <v>54.56101355177052</v>
      </c>
      <c r="D27" s="39">
        <f t="shared" si="1"/>
        <v>0</v>
      </c>
      <c r="E27" s="27">
        <f t="shared" si="2"/>
        <v>0.08509663894645035</v>
      </c>
      <c r="F27" s="22">
        <f t="shared" si="3"/>
        <v>0</v>
      </c>
    </row>
    <row r="28" spans="2:6" ht="12.75">
      <c r="B28" s="18">
        <v>6</v>
      </c>
      <c r="C28" s="25">
        <f t="shared" si="0"/>
        <v>52.6518440242143</v>
      </c>
      <c r="D28" s="39">
        <f t="shared" si="1"/>
        <v>0</v>
      </c>
      <c r="E28" s="27">
        <f t="shared" si="2"/>
        <v>0.044680027447996776</v>
      </c>
      <c r="F28" s="22">
        <f t="shared" si="3"/>
        <v>0</v>
      </c>
    </row>
    <row r="29" spans="2:6" ht="12.75">
      <c r="B29" s="18">
        <v>5</v>
      </c>
      <c r="C29" s="25">
        <f t="shared" si="0"/>
        <v>50.80947912596526</v>
      </c>
      <c r="D29" s="39">
        <f t="shared" si="1"/>
        <v>0</v>
      </c>
      <c r="E29" s="27">
        <f t="shared" si="2"/>
        <v>0.018767414341804747</v>
      </c>
      <c r="F29" s="22">
        <f t="shared" si="3"/>
        <v>0</v>
      </c>
    </row>
    <row r="30" spans="2:6" ht="12.75">
      <c r="B30" s="18">
        <v>4</v>
      </c>
      <c r="C30" s="25">
        <f t="shared" si="0"/>
        <v>49.031581265503895</v>
      </c>
      <c r="D30" s="39">
        <f t="shared" si="1"/>
        <v>0</v>
      </c>
      <c r="E30" s="27">
        <f t="shared" si="2"/>
        <v>0.0061586494359624055</v>
      </c>
      <c r="F30" s="22">
        <f t="shared" si="3"/>
        <v>0</v>
      </c>
    </row>
    <row r="31" spans="2:6" ht="12.75">
      <c r="B31" s="18">
        <v>3</v>
      </c>
      <c r="C31" s="25">
        <f t="shared" si="0"/>
        <v>47.31589464705106</v>
      </c>
      <c r="D31" s="39">
        <f t="shared" si="1"/>
        <v>0</v>
      </c>
      <c r="E31" s="27">
        <f t="shared" si="2"/>
        <v>0.0015216948594702238</v>
      </c>
      <c r="F31" s="22">
        <f t="shared" si="3"/>
        <v>0</v>
      </c>
    </row>
    <row r="32" spans="2:6" ht="12.75">
      <c r="B32" s="18">
        <v>2</v>
      </c>
      <c r="C32" s="25">
        <f t="shared" si="0"/>
        <v>45.66024240841557</v>
      </c>
      <c r="D32" s="39">
        <f t="shared" si="1"/>
        <v>0</v>
      </c>
      <c r="E32" s="27">
        <f t="shared" si="2"/>
        <v>0.0002663221835407994</v>
      </c>
      <c r="F32" s="22">
        <f t="shared" si="3"/>
        <v>0</v>
      </c>
    </row>
    <row r="33" spans="2:6" ht="12.75">
      <c r="B33" s="18">
        <v>1</v>
      </c>
      <c r="C33" s="25">
        <f t="shared" si="0"/>
        <v>44.0625238589927</v>
      </c>
      <c r="D33" s="39">
        <f t="shared" si="1"/>
        <v>0</v>
      </c>
      <c r="E33" s="27">
        <f t="shared" si="2"/>
        <v>2.9438437640914504E-05</v>
      </c>
      <c r="F33" s="22">
        <f t="shared" si="3"/>
        <v>0</v>
      </c>
    </row>
    <row r="34" spans="2:6" ht="13.5" thickBot="1">
      <c r="B34" s="23">
        <v>0</v>
      </c>
      <c r="C34" s="26">
        <f t="shared" si="0"/>
        <v>42.52071181440912</v>
      </c>
      <c r="D34" s="40">
        <f t="shared" si="1"/>
        <v>0</v>
      </c>
      <c r="E34" s="28">
        <f t="shared" si="2"/>
        <v>1.5456664541708846E-06</v>
      </c>
      <c r="F34" s="22">
        <f t="shared" si="3"/>
        <v>0</v>
      </c>
    </row>
    <row r="35" ht="13.5" thickBot="1">
      <c r="F35" s="29">
        <f>SUM(F14:F34)</f>
        <v>2.111957639856196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J32"/>
  <sheetViews>
    <sheetView workbookViewId="0" topLeftCell="A1">
      <selection activeCell="E10" sqref="E10"/>
    </sheetView>
  </sheetViews>
  <sheetFormatPr defaultColWidth="9.00390625" defaultRowHeight="12.75"/>
  <cols>
    <col min="1" max="1" width="2.375" style="2" customWidth="1"/>
    <col min="2" max="2" width="11.00390625" style="2" customWidth="1"/>
    <col min="3" max="3" width="10.75390625" style="2" bestFit="1" customWidth="1"/>
    <col min="4" max="4" width="10.125" style="2" customWidth="1"/>
    <col min="5" max="5" width="11.625" style="2" customWidth="1"/>
    <col min="6" max="6" width="14.375" style="2" customWidth="1"/>
    <col min="7" max="7" width="12.125" style="2" customWidth="1"/>
    <col min="8" max="8" width="11.25390625" style="2" bestFit="1" customWidth="1"/>
    <col min="9" max="9" width="9.125" style="2" customWidth="1"/>
    <col min="10" max="11" width="12.125" style="2" bestFit="1" customWidth="1"/>
    <col min="12" max="16384" width="9.125" style="2" customWidth="1"/>
  </cols>
  <sheetData>
    <row r="1" s="3" customFormat="1" ht="12.75">
      <c r="B1" s="3" t="s">
        <v>0</v>
      </c>
    </row>
    <row r="2" s="3" customFormat="1" ht="12.75">
      <c r="B2" s="3" t="s">
        <v>1</v>
      </c>
    </row>
    <row r="3" spans="2:7" s="1" customFormat="1" ht="12.75">
      <c r="B3" s="1" t="s">
        <v>74</v>
      </c>
      <c r="C3" s="14" t="s">
        <v>49</v>
      </c>
      <c r="D3" s="16"/>
      <c r="E3" s="35"/>
      <c r="F3" s="35"/>
      <c r="G3" s="35"/>
    </row>
    <row r="5" spans="2:10" ht="12.75">
      <c r="B5" s="17" t="s">
        <v>51</v>
      </c>
      <c r="C5" s="44"/>
      <c r="D5" s="45">
        <f>SUMPRODUCT(D11:D31,F11:F31)</f>
        <v>0.026788415953981633</v>
      </c>
      <c r="G5" s="42" t="s">
        <v>58</v>
      </c>
      <c r="H5" s="24" t="s">
        <v>59</v>
      </c>
      <c r="J5" s="4" t="s">
        <v>2</v>
      </c>
    </row>
    <row r="6" spans="2:10" ht="12.75">
      <c r="B6" s="46" t="s">
        <v>53</v>
      </c>
      <c r="C6" s="47"/>
      <c r="D6" s="48">
        <f>I_wealth/S_0</f>
        <v>250</v>
      </c>
      <c r="G6" s="88">
        <f>I22</f>
        <v>0.7402597402597404</v>
      </c>
      <c r="H6" s="43">
        <f>I_wealth*(1+r_f_hor)-$D$6*C22</f>
        <v>447.35256104241125</v>
      </c>
      <c r="J6" s="5" t="s">
        <v>3</v>
      </c>
    </row>
    <row r="7" spans="2:10" ht="12.75">
      <c r="B7" s="46" t="s">
        <v>55</v>
      </c>
      <c r="C7" s="49"/>
      <c r="D7" s="50">
        <f>G32^0.5</f>
        <v>0.039256921644551676</v>
      </c>
      <c r="G7" s="86"/>
      <c r="H7" s="87"/>
      <c r="J7" s="6" t="s">
        <v>4</v>
      </c>
    </row>
    <row r="8" spans="2:10" ht="12.75">
      <c r="B8" s="51" t="s">
        <v>57</v>
      </c>
      <c r="C8" s="52"/>
      <c r="D8" s="53">
        <f>(D5-r_f_hor)/stock!D7</f>
        <v>0.5215008032863654</v>
      </c>
      <c r="J8" s="7" t="s">
        <v>5</v>
      </c>
    </row>
    <row r="10" spans="2:8" ht="25.5">
      <c r="B10" s="30" t="s">
        <v>46</v>
      </c>
      <c r="C10" s="31" t="s">
        <v>47</v>
      </c>
      <c r="D10" s="36" t="s">
        <v>50</v>
      </c>
      <c r="E10" s="31" t="s">
        <v>92</v>
      </c>
      <c r="F10" s="38" t="s">
        <v>75</v>
      </c>
      <c r="G10" s="38" t="s">
        <v>54</v>
      </c>
      <c r="H10" s="38" t="s">
        <v>52</v>
      </c>
    </row>
    <row r="11" spans="2:8" ht="12.75">
      <c r="B11" s="18">
        <v>20</v>
      </c>
      <c r="C11" s="33">
        <f>calibration!C14</f>
        <v>86.69167465981542</v>
      </c>
      <c r="D11" s="139">
        <f>(C11-S_0)/S_0</f>
        <v>0.444861244330257</v>
      </c>
      <c r="E11" s="27">
        <f>BINOMDIST(B11,20,Data!p,0)</f>
        <v>9.5367431640625E-07</v>
      </c>
      <c r="F11" s="82">
        <v>0</v>
      </c>
      <c r="G11" s="82">
        <f>F11*(D11-$D$5)^2</f>
        <v>0</v>
      </c>
      <c r="H11" s="85">
        <f>SUM(F11:$F$31)</f>
        <v>1</v>
      </c>
    </row>
    <row r="12" spans="2:8" ht="12.75">
      <c r="B12" s="18">
        <v>19</v>
      </c>
      <c r="C12" s="33">
        <f>calibration!C15</f>
        <v>83.65820638679126</v>
      </c>
      <c r="D12" s="139">
        <f aca="true" t="shared" si="0" ref="D12:D31">(C12-S_0)/S_0</f>
        <v>0.3943034397798544</v>
      </c>
      <c r="E12" s="27">
        <f>BINOMDIST(B12,20,Data!p,0)</f>
        <v>1.9073486328125E-05</v>
      </c>
      <c r="F12" s="82">
        <v>0</v>
      </c>
      <c r="G12" s="82">
        <f aca="true" t="shared" si="1" ref="G12:G31">F12*(D12-$D$5)^2</f>
        <v>0</v>
      </c>
      <c r="H12" s="85">
        <f>SUM(F12:$F$31)</f>
        <v>1</v>
      </c>
    </row>
    <row r="13" spans="2:8" ht="12.75">
      <c r="B13" s="18">
        <v>18</v>
      </c>
      <c r="C13" s="33">
        <f>calibration!C16</f>
        <v>80.73088359774296</v>
      </c>
      <c r="D13" s="139">
        <f t="shared" si="0"/>
        <v>0.3455147266290493</v>
      </c>
      <c r="E13" s="27">
        <f>BINOMDIST(B13,20,Data!p,0)</f>
        <v>0.00018119812011718753</v>
      </c>
      <c r="F13" s="82">
        <v>0</v>
      </c>
      <c r="G13" s="82">
        <f t="shared" si="1"/>
        <v>0</v>
      </c>
      <c r="H13" s="85">
        <f>SUM(F13:$F$31)</f>
        <v>1</v>
      </c>
    </row>
    <row r="14" spans="2:8" ht="12.75">
      <c r="B14" s="18">
        <v>17</v>
      </c>
      <c r="C14" s="33">
        <f>calibration!C17</f>
        <v>77.90599210720546</v>
      </c>
      <c r="D14" s="139">
        <f t="shared" si="0"/>
        <v>0.29843320178675775</v>
      </c>
      <c r="E14" s="27">
        <f>BINOMDIST(B14,20,Data!p,0)</f>
        <v>0.0010871887207031254</v>
      </c>
      <c r="F14" s="82">
        <v>0</v>
      </c>
      <c r="G14" s="82">
        <f t="shared" si="1"/>
        <v>0</v>
      </c>
      <c r="H14" s="85">
        <f>SUM(F14:$F$31)</f>
        <v>1</v>
      </c>
    </row>
    <row r="15" spans="2:8" ht="12.75">
      <c r="B15" s="18">
        <v>16</v>
      </c>
      <c r="C15" s="33">
        <f>calibration!C18</f>
        <v>75.17994769448605</v>
      </c>
      <c r="D15" s="139">
        <f t="shared" si="0"/>
        <v>0.2529991282414341</v>
      </c>
      <c r="E15" s="27">
        <f>BINOMDIST(B15,20,Data!p,0)</f>
        <v>0.004620552062988283</v>
      </c>
      <c r="F15" s="82">
        <v>0</v>
      </c>
      <c r="G15" s="82">
        <f t="shared" si="1"/>
        <v>0</v>
      </c>
      <c r="H15" s="85">
        <f>SUM(F15:$F$31)</f>
        <v>1</v>
      </c>
    </row>
    <row r="16" spans="2:8" ht="12.75">
      <c r="B16" s="18">
        <v>15</v>
      </c>
      <c r="C16" s="33">
        <f>calibration!C19</f>
        <v>72.54929155600739</v>
      </c>
      <c r="D16" s="139">
        <f t="shared" si="0"/>
        <v>0.20915485926678984</v>
      </c>
      <c r="E16" s="27">
        <f>BINOMDIST(B16,20,Data!p,0)</f>
        <v>0.014785766601562505</v>
      </c>
      <c r="F16" s="82">
        <v>0</v>
      </c>
      <c r="G16" s="82">
        <f t="shared" si="1"/>
        <v>0</v>
      </c>
      <c r="H16" s="85">
        <f>SUM(F16:$F$31)</f>
        <v>1</v>
      </c>
    </row>
    <row r="17" spans="2:8" ht="12.75">
      <c r="B17" s="18">
        <v>14</v>
      </c>
      <c r="C17" s="33">
        <f>calibration!C20</f>
        <v>70.01068591677937</v>
      </c>
      <c r="D17" s="139">
        <f t="shared" si="0"/>
        <v>0.1668447652796561</v>
      </c>
      <c r="E17" s="27">
        <f>BINOMDIST(B17,20,Data!p,0)</f>
        <v>0.03696441650390628</v>
      </c>
      <c r="F17" s="82">
        <v>0</v>
      </c>
      <c r="G17" s="82">
        <f t="shared" si="1"/>
        <v>0</v>
      </c>
      <c r="H17" s="85">
        <f>SUM(F17:$F$31)</f>
        <v>1</v>
      </c>
    </row>
    <row r="18" spans="2:8" ht="13.5" thickBot="1">
      <c r="B18" s="18">
        <v>13</v>
      </c>
      <c r="C18" s="33">
        <f>calibration!C21</f>
        <v>67.56090979543225</v>
      </c>
      <c r="D18" s="139">
        <f t="shared" si="0"/>
        <v>0.12601516325720422</v>
      </c>
      <c r="E18" s="27">
        <f>BINOMDIST(B18,20,Data!p,0)</f>
        <v>0.07392883300781257</v>
      </c>
      <c r="F18" s="82">
        <v>0</v>
      </c>
      <c r="G18" s="82">
        <f t="shared" si="1"/>
        <v>0</v>
      </c>
      <c r="H18" s="85">
        <f>SUM(F18:$F$31)</f>
        <v>1</v>
      </c>
    </row>
    <row r="19" spans="2:8" ht="12.75">
      <c r="B19" s="93">
        <v>12</v>
      </c>
      <c r="C19" s="94">
        <f>calibration!C22</f>
        <v>65.19685491743726</v>
      </c>
      <c r="D19" s="140">
        <f t="shared" si="0"/>
        <v>0.0866142486239544</v>
      </c>
      <c r="E19" s="95">
        <f>BINOMDIST(B19,20,Data!p,0)</f>
        <v>0.12013435363769544</v>
      </c>
      <c r="F19" s="96">
        <f>E19/SUM($E$19:$E$22)</f>
        <v>0.19480519480519498</v>
      </c>
      <c r="G19" s="97">
        <f t="shared" si="1"/>
        <v>0.0006972331664913477</v>
      </c>
      <c r="H19" s="98">
        <f>SUM(F19:$F$31)</f>
        <v>1</v>
      </c>
    </row>
    <row r="20" spans="2:8" ht="12.75">
      <c r="B20" s="99">
        <v>11</v>
      </c>
      <c r="C20" s="33">
        <f>calibration!C23</f>
        <v>62.91552177132976</v>
      </c>
      <c r="D20" s="139">
        <f t="shared" si="0"/>
        <v>0.04859202952216262</v>
      </c>
      <c r="E20" s="81">
        <f>BINOMDIST(B20,20,Data!p,0)</f>
        <v>0.16017913818359372</v>
      </c>
      <c r="F20" s="84">
        <f>E20/SUM($E$19:$E$22)</f>
        <v>0.25974025974025966</v>
      </c>
      <c r="G20" s="83">
        <f t="shared" si="1"/>
        <v>0.0001234798869170301</v>
      </c>
      <c r="H20" s="100">
        <f>SUM(F20:$F$31)</f>
        <v>0.805194805194805</v>
      </c>
    </row>
    <row r="21" spans="2:8" ht="12.75">
      <c r="B21" s="99">
        <v>10</v>
      </c>
      <c r="C21" s="33">
        <f>calibration!C24</f>
        <v>60.71401580293074</v>
      </c>
      <c r="D21" s="139">
        <f t="shared" si="0"/>
        <v>0.011900263382178977</v>
      </c>
      <c r="E21" s="81">
        <f>BINOMDIST(B21,20,Data!p,0)</f>
        <v>0.17619705200195312</v>
      </c>
      <c r="F21" s="84">
        <f>E21/SUM($E$19:$E$22)</f>
        <v>0.28571428571428564</v>
      </c>
      <c r="G21" s="83">
        <f t="shared" si="1"/>
        <v>6.333059628607827E-05</v>
      </c>
      <c r="H21" s="100">
        <f>SUM(F21:$F$31)</f>
        <v>0.5454545454545453</v>
      </c>
    </row>
    <row r="22" spans="2:9" ht="13.5" thickBot="1">
      <c r="B22" s="101">
        <v>9</v>
      </c>
      <c r="C22" s="102">
        <f>calibration!C25</f>
        <v>58.589543742738236</v>
      </c>
      <c r="D22" s="141">
        <f t="shared" si="0"/>
        <v>-0.023507604287696063</v>
      </c>
      <c r="E22" s="103">
        <f>BINOMDIST(B22,20,Data!p,0)</f>
        <v>0.16017913818359372</v>
      </c>
      <c r="F22" s="104">
        <f>E22/SUM($E$19:$E$22)</f>
        <v>0.25974025974025966</v>
      </c>
      <c r="G22" s="105">
        <f t="shared" si="1"/>
        <v>0.0006570622473120135</v>
      </c>
      <c r="H22" s="106">
        <f>SUM(F22:$F$31)</f>
        <v>0.25974025974025966</v>
      </c>
      <c r="I22" s="107">
        <f>1-H22</f>
        <v>0.7402597402597404</v>
      </c>
    </row>
    <row r="23" spans="2:9" ht="12.75">
      <c r="B23" s="18">
        <v>8</v>
      </c>
      <c r="C23" s="33">
        <f>calibration!C26</f>
        <v>56.539410061828484</v>
      </c>
      <c r="D23" s="139">
        <f t="shared" si="0"/>
        <v>-0.05767649896952527</v>
      </c>
      <c r="E23" s="27">
        <f>BINOMDIST(B23,20,Data!p,0)</f>
        <v>0.12013435363769544</v>
      </c>
      <c r="F23" s="82">
        <v>0</v>
      </c>
      <c r="G23" s="82">
        <f t="shared" si="1"/>
        <v>0</v>
      </c>
      <c r="H23" s="85">
        <f>SUM(F23:$F$31)</f>
        <v>0</v>
      </c>
      <c r="I23" s="80"/>
    </row>
    <row r="24" spans="2:8" ht="12.75">
      <c r="B24" s="18">
        <v>7</v>
      </c>
      <c r="C24" s="79">
        <f>calibration!C27</f>
        <v>54.56101355177052</v>
      </c>
      <c r="D24" s="139">
        <f t="shared" si="0"/>
        <v>-0.09064977413715797</v>
      </c>
      <c r="E24" s="27">
        <f>BINOMDIST(B24,20,Data!p,0)</f>
        <v>0.07392883300781257</v>
      </c>
      <c r="F24" s="82">
        <v>0</v>
      </c>
      <c r="G24" s="82">
        <f t="shared" si="1"/>
        <v>0</v>
      </c>
      <c r="H24" s="85">
        <f>SUM(F24:$F$31)</f>
        <v>0</v>
      </c>
    </row>
    <row r="25" spans="2:9" ht="12.75">
      <c r="B25" s="18">
        <v>6</v>
      </c>
      <c r="C25" s="79">
        <f>calibration!C28</f>
        <v>52.6518440242143</v>
      </c>
      <c r="D25" s="139">
        <f t="shared" si="0"/>
        <v>-0.12246926626309503</v>
      </c>
      <c r="E25" s="27">
        <f>BINOMDIST(B25,20,Data!p,0)</f>
        <v>0.03696441650390628</v>
      </c>
      <c r="F25" s="82">
        <v>0</v>
      </c>
      <c r="G25" s="82">
        <f t="shared" si="1"/>
        <v>0</v>
      </c>
      <c r="H25" s="85">
        <f>SUM(F25:$F$31)</f>
        <v>0</v>
      </c>
      <c r="I25" s="80"/>
    </row>
    <row r="26" spans="2:8" ht="12.75">
      <c r="B26" s="18">
        <v>5</v>
      </c>
      <c r="C26" s="33">
        <f>calibration!C29</f>
        <v>50.80947912596526</v>
      </c>
      <c r="D26" s="139">
        <f t="shared" si="0"/>
        <v>-0.153175347900579</v>
      </c>
      <c r="E26" s="27">
        <f>BINOMDIST(B26,20,Data!p,0)</f>
        <v>0.014785766601562505</v>
      </c>
      <c r="F26" s="82">
        <v>0</v>
      </c>
      <c r="G26" s="82">
        <f t="shared" si="1"/>
        <v>0</v>
      </c>
      <c r="H26" s="85">
        <f>SUM(F26:$F$31)</f>
        <v>0</v>
      </c>
    </row>
    <row r="27" spans="2:9" ht="12.75">
      <c r="B27" s="18">
        <v>4</v>
      </c>
      <c r="C27" s="33">
        <f>calibration!C30</f>
        <v>49.031581265503895</v>
      </c>
      <c r="D27" s="139">
        <f t="shared" si="0"/>
        <v>-0.1828069789082684</v>
      </c>
      <c r="E27" s="27">
        <f>BINOMDIST(B27,20,Data!p,0)</f>
        <v>0.004620552062988283</v>
      </c>
      <c r="F27" s="82">
        <v>0</v>
      </c>
      <c r="G27" s="82">
        <f t="shared" si="1"/>
        <v>0</v>
      </c>
      <c r="H27" s="85">
        <f>SUM(F27:$F$31)</f>
        <v>0</v>
      </c>
      <c r="I27" s="80"/>
    </row>
    <row r="28" spans="2:8" ht="12.75">
      <c r="B28" s="18">
        <v>3</v>
      </c>
      <c r="C28" s="33">
        <f>calibration!C31</f>
        <v>47.31589464705106</v>
      </c>
      <c r="D28" s="139">
        <f t="shared" si="0"/>
        <v>-0.21140175588248233</v>
      </c>
      <c r="E28" s="27">
        <f>BINOMDIST(B28,20,Data!p,0)</f>
        <v>0.0010871887207031254</v>
      </c>
      <c r="F28" s="82">
        <v>0</v>
      </c>
      <c r="G28" s="82">
        <f t="shared" si="1"/>
        <v>0</v>
      </c>
      <c r="H28" s="85">
        <f>SUM(F28:$F$31)</f>
        <v>0</v>
      </c>
    </row>
    <row r="29" spans="2:8" ht="12.75">
      <c r="B29" s="18">
        <v>2</v>
      </c>
      <c r="C29" s="33">
        <f>calibration!C32</f>
        <v>45.66024240841557</v>
      </c>
      <c r="D29" s="139">
        <f t="shared" si="0"/>
        <v>-0.2389959598597405</v>
      </c>
      <c r="E29" s="27">
        <f>BINOMDIST(B29,20,Data!p,0)</f>
        <v>0.00018119812011718753</v>
      </c>
      <c r="F29" s="82">
        <v>0</v>
      </c>
      <c r="G29" s="82">
        <f t="shared" si="1"/>
        <v>0</v>
      </c>
      <c r="H29" s="85">
        <f>SUM(F29:$F$31)</f>
        <v>0</v>
      </c>
    </row>
    <row r="30" spans="2:8" ht="12.75">
      <c r="B30" s="18">
        <v>1</v>
      </c>
      <c r="C30" s="33">
        <f>calibration!C33</f>
        <v>44.0625238589927</v>
      </c>
      <c r="D30" s="139">
        <f t="shared" si="0"/>
        <v>-0.2656246023501217</v>
      </c>
      <c r="E30" s="27">
        <f>BINOMDIST(B30,20,Data!p,0)</f>
        <v>1.9073486328125E-05</v>
      </c>
      <c r="F30" s="82">
        <v>0</v>
      </c>
      <c r="G30" s="82">
        <f t="shared" si="1"/>
        <v>0</v>
      </c>
      <c r="H30" s="85">
        <f>SUM(F30:$F$31)</f>
        <v>0</v>
      </c>
    </row>
    <row r="31" spans="2:8" ht="12.75">
      <c r="B31" s="23">
        <v>0</v>
      </c>
      <c r="C31" s="34">
        <f>calibration!C34</f>
        <v>42.52071181440912</v>
      </c>
      <c r="D31" s="142">
        <f t="shared" si="0"/>
        <v>-0.291321469759848</v>
      </c>
      <c r="E31" s="28">
        <f>BINOMDIST(B31,20,Data!p,0)</f>
        <v>9.5367431640625E-07</v>
      </c>
      <c r="F31" s="90">
        <v>0</v>
      </c>
      <c r="G31" s="90">
        <f t="shared" si="1"/>
        <v>0</v>
      </c>
      <c r="H31" s="91">
        <f>SUM(F31:$F$31)</f>
        <v>0</v>
      </c>
    </row>
    <row r="32" spans="6:8" ht="12.75">
      <c r="F32" s="92" t="s">
        <v>76</v>
      </c>
      <c r="G32" s="89">
        <f>SUM(G11:G31)</f>
        <v>0.0015411058970064696</v>
      </c>
      <c r="H32" s="3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H30"/>
  <sheetViews>
    <sheetView workbookViewId="0" topLeftCell="A1">
      <selection activeCell="A1" sqref="A1"/>
    </sheetView>
  </sheetViews>
  <sheetFormatPr defaultColWidth="9.00390625" defaultRowHeight="12.75"/>
  <cols>
    <col min="1" max="1" width="2.375" style="2" customWidth="1"/>
    <col min="2" max="2" width="11.00390625" style="2" customWidth="1"/>
    <col min="3" max="3" width="10.75390625" style="2" bestFit="1" customWidth="1"/>
    <col min="4" max="4" width="10.125" style="2" customWidth="1"/>
    <col min="5" max="5" width="12.625" style="2" customWidth="1"/>
    <col min="6" max="6" width="11.75390625" style="2" customWidth="1"/>
    <col min="7" max="7" width="7.625" style="2" customWidth="1"/>
    <col min="8" max="9" width="12.125" style="2" bestFit="1" customWidth="1"/>
    <col min="10" max="16384" width="9.125" style="2" customWidth="1"/>
  </cols>
  <sheetData>
    <row r="1" s="3" customFormat="1" ht="12.75">
      <c r="B1" s="3" t="s">
        <v>0</v>
      </c>
    </row>
    <row r="2" s="3" customFormat="1" ht="12.75">
      <c r="B2" s="3" t="s">
        <v>1</v>
      </c>
    </row>
    <row r="3" spans="2:6" s="1" customFormat="1" ht="12.75">
      <c r="B3" s="1" t="s">
        <v>74</v>
      </c>
      <c r="C3" s="14" t="s">
        <v>82</v>
      </c>
      <c r="D3" s="16"/>
      <c r="E3" s="35"/>
      <c r="F3" s="35"/>
    </row>
    <row r="5" spans="2:8" ht="12.75">
      <c r="B5" s="17" t="s">
        <v>78</v>
      </c>
      <c r="C5" s="44"/>
      <c r="D5" s="117">
        <f>SUMPRODUCT(F10:F30,D10:D30)</f>
        <v>3.2922588055967905</v>
      </c>
      <c r="F5" s="55"/>
      <c r="H5" s="4" t="s">
        <v>2</v>
      </c>
    </row>
    <row r="6" spans="2:8" ht="12.75">
      <c r="B6" s="51" t="s">
        <v>79</v>
      </c>
      <c r="C6" s="119"/>
      <c r="D6" s="120">
        <f>SUMPRODUCT(F10:F30,E10:E30)</f>
        <v>2.111957639856196</v>
      </c>
      <c r="F6" s="86"/>
      <c r="H6" s="5" t="s">
        <v>3</v>
      </c>
    </row>
    <row r="7" spans="2:8" ht="12.75">
      <c r="B7" s="35"/>
      <c r="C7" s="118"/>
      <c r="F7" s="86"/>
      <c r="H7" s="6" t="s">
        <v>4</v>
      </c>
    </row>
    <row r="8" ht="12.75">
      <c r="H8" s="7" t="s">
        <v>5</v>
      </c>
    </row>
    <row r="9" spans="2:6" ht="38.25">
      <c r="B9" s="30" t="s">
        <v>46</v>
      </c>
      <c r="C9" s="31" t="s">
        <v>47</v>
      </c>
      <c r="D9" s="31" t="s">
        <v>80</v>
      </c>
      <c r="E9" s="36" t="s">
        <v>81</v>
      </c>
      <c r="F9" s="31" t="s">
        <v>45</v>
      </c>
    </row>
    <row r="10" spans="2:6" ht="12.75">
      <c r="B10" s="18">
        <v>20</v>
      </c>
      <c r="C10" s="33">
        <f>calibration!C14</f>
        <v>86.69167465981542</v>
      </c>
      <c r="D10" s="39">
        <f>MAX(C10-58,0)/(1+r_f_hor)</f>
        <v>28.51159826257014</v>
      </c>
      <c r="E10" s="121">
        <f>MAX(C10-60,0)/(1+r_f_hor)</f>
        <v>26.524150781681023</v>
      </c>
      <c r="F10" s="27">
        <f>BINOMDIST(B10,20,p_rn,0)</f>
        <v>5.81427255266746E-07</v>
      </c>
    </row>
    <row r="11" spans="2:6" ht="12.75">
      <c r="B11" s="18">
        <v>19</v>
      </c>
      <c r="C11" s="33">
        <f>calibration!C15</f>
        <v>83.65820638679126</v>
      </c>
      <c r="D11" s="39">
        <f aca="true" t="shared" si="0" ref="D11:D30">MAX(C11-58,0)/(1+r_f_hor)</f>
        <v>25.49716882378068</v>
      </c>
      <c r="E11" s="121">
        <f aca="true" t="shared" si="1" ref="E11:E30">MAX(C11-60,0)/(1+r_f_hor)</f>
        <v>23.509721342891563</v>
      </c>
      <c r="F11" s="27">
        <f aca="true" t="shared" si="2" ref="F11:F30">BINOMDIST(B11,20,p_rn,0)</f>
        <v>1.2211145373522548E-05</v>
      </c>
    </row>
    <row r="12" spans="2:6" ht="12.75">
      <c r="B12" s="18">
        <v>18</v>
      </c>
      <c r="C12" s="33">
        <f>calibration!C16</f>
        <v>80.73088359774296</v>
      </c>
      <c r="D12" s="39">
        <f t="shared" si="0"/>
        <v>22.588218672359</v>
      </c>
      <c r="E12" s="121">
        <f t="shared" si="1"/>
        <v>20.600771191469885</v>
      </c>
      <c r="F12" s="27">
        <f t="shared" si="2"/>
        <v>0.00012181787702887008</v>
      </c>
    </row>
    <row r="13" spans="2:6" ht="12.75">
      <c r="B13" s="18">
        <v>17</v>
      </c>
      <c r="C13" s="33">
        <f>calibration!C17</f>
        <v>77.90599210720546</v>
      </c>
      <c r="D13" s="39">
        <f t="shared" si="0"/>
        <v>19.781056934032076</v>
      </c>
      <c r="E13" s="121">
        <f t="shared" si="1"/>
        <v>17.79360945314296</v>
      </c>
      <c r="F13" s="27">
        <f t="shared" si="2"/>
        <v>0.0007675263545106655</v>
      </c>
    </row>
    <row r="14" spans="2:6" ht="12.75">
      <c r="B14" s="18">
        <v>16</v>
      </c>
      <c r="C14" s="33">
        <f>calibration!C18</f>
        <v>75.17994769448605</v>
      </c>
      <c r="D14" s="39">
        <f t="shared" si="0"/>
        <v>17.072121883606545</v>
      </c>
      <c r="E14" s="121">
        <f t="shared" si="1"/>
        <v>15.084674402717429</v>
      </c>
      <c r="F14" s="27">
        <f t="shared" si="2"/>
        <v>0.0034254154052959424</v>
      </c>
    </row>
    <row r="15" spans="2:6" ht="12.75">
      <c r="B15" s="18">
        <v>15</v>
      </c>
      <c r="C15" s="33">
        <f>calibration!C19</f>
        <v>72.54929155600739</v>
      </c>
      <c r="D15" s="39">
        <f t="shared" si="0"/>
        <v>14.457976425854097</v>
      </c>
      <c r="E15" s="121">
        <f t="shared" si="1"/>
        <v>12.470528944964979</v>
      </c>
      <c r="F15" s="27">
        <f t="shared" si="2"/>
        <v>0.011510501470271104</v>
      </c>
    </row>
    <row r="16" spans="2:6" ht="12.75">
      <c r="B16" s="18">
        <v>14</v>
      </c>
      <c r="C16" s="33">
        <f>calibration!C20</f>
        <v>70.01068591677937</v>
      </c>
      <c r="D16" s="39">
        <f t="shared" si="0"/>
        <v>11.935303734526775</v>
      </c>
      <c r="E16" s="121">
        <f t="shared" si="1"/>
        <v>9.947856253637658</v>
      </c>
      <c r="F16" s="27">
        <f t="shared" si="2"/>
        <v>0.030217969123055088</v>
      </c>
    </row>
    <row r="17" spans="2:6" ht="12.75">
      <c r="B17" s="18">
        <v>13</v>
      </c>
      <c r="C17" s="33">
        <f>calibration!C21</f>
        <v>67.56090979543225</v>
      </c>
      <c r="D17" s="39">
        <f t="shared" si="0"/>
        <v>9.500903043969958</v>
      </c>
      <c r="E17" s="121">
        <f t="shared" si="1"/>
        <v>7.513455563080841</v>
      </c>
      <c r="F17" s="27">
        <f t="shared" si="2"/>
        <v>0.06346383154758602</v>
      </c>
    </row>
    <row r="18" spans="2:6" ht="12.75">
      <c r="B18" s="18">
        <v>12</v>
      </c>
      <c r="C18" s="33">
        <f>calibration!C22</f>
        <v>65.19685491743726</v>
      </c>
      <c r="D18" s="39">
        <f t="shared" si="0"/>
        <v>7.151685587992573</v>
      </c>
      <c r="E18" s="121">
        <f t="shared" si="1"/>
        <v>5.164238107103456</v>
      </c>
      <c r="F18" s="27">
        <f t="shared" si="2"/>
        <v>0.10829556554140815</v>
      </c>
    </row>
    <row r="19" spans="2:6" ht="12.75">
      <c r="B19" s="18">
        <v>11</v>
      </c>
      <c r="C19" s="33">
        <f>calibration!C23</f>
        <v>62.91552177132976</v>
      </c>
      <c r="D19" s="39">
        <f t="shared" si="0"/>
        <v>4.884670680842469</v>
      </c>
      <c r="E19" s="121">
        <f t="shared" si="1"/>
        <v>2.897223199953352</v>
      </c>
      <c r="F19" s="27">
        <f t="shared" si="2"/>
        <v>0.15162835730582522</v>
      </c>
    </row>
    <row r="20" spans="2:6" ht="12.75">
      <c r="B20" s="18">
        <v>10</v>
      </c>
      <c r="C20" s="33">
        <f>calibration!C24</f>
        <v>60.71401580293074</v>
      </c>
      <c r="D20" s="39">
        <f t="shared" si="0"/>
        <v>2.6969819353139757</v>
      </c>
      <c r="E20" s="121">
        <f t="shared" si="1"/>
        <v>0.7095344544248585</v>
      </c>
      <c r="F20" s="27">
        <f t="shared" si="2"/>
        <v>0.17514757751220625</v>
      </c>
    </row>
    <row r="21" spans="2:6" ht="12.75">
      <c r="B21" s="18">
        <v>9</v>
      </c>
      <c r="C21" s="33">
        <f>calibration!C25</f>
        <v>58.589543742738236</v>
      </c>
      <c r="D21" s="39">
        <f t="shared" si="0"/>
        <v>0.5858436131895247</v>
      </c>
      <c r="E21" s="121">
        <f t="shared" si="1"/>
        <v>0</v>
      </c>
      <c r="F21" s="27">
        <f t="shared" si="2"/>
        <v>0.16720238559106718</v>
      </c>
    </row>
    <row r="22" spans="2:6" ht="12.75">
      <c r="B22" s="18">
        <v>8</v>
      </c>
      <c r="C22" s="33">
        <f>calibration!C26</f>
        <v>56.539410061828484</v>
      </c>
      <c r="D22" s="39">
        <f t="shared" si="0"/>
        <v>0</v>
      </c>
      <c r="E22" s="121">
        <f t="shared" si="1"/>
        <v>0</v>
      </c>
      <c r="F22" s="27">
        <f t="shared" si="2"/>
        <v>0.1316845283797965</v>
      </c>
    </row>
    <row r="23" spans="2:6" ht="12.75">
      <c r="B23" s="18">
        <v>7</v>
      </c>
      <c r="C23" s="33">
        <f>calibration!C27</f>
        <v>54.56101355177052</v>
      </c>
      <c r="D23" s="39">
        <f t="shared" si="0"/>
        <v>0</v>
      </c>
      <c r="E23" s="121">
        <f t="shared" si="1"/>
        <v>0</v>
      </c>
      <c r="F23" s="27">
        <f t="shared" si="2"/>
        <v>0.08509663894645035</v>
      </c>
    </row>
    <row r="24" spans="2:7" ht="12.75">
      <c r="B24" s="18">
        <v>6</v>
      </c>
      <c r="C24" s="33">
        <f>calibration!C28</f>
        <v>52.6518440242143</v>
      </c>
      <c r="D24" s="39">
        <f t="shared" si="0"/>
        <v>0</v>
      </c>
      <c r="E24" s="121">
        <f t="shared" si="1"/>
        <v>0</v>
      </c>
      <c r="F24" s="27">
        <f t="shared" si="2"/>
        <v>0.044680027447996776</v>
      </c>
      <c r="G24" s="80"/>
    </row>
    <row r="25" spans="2:6" ht="12.75">
      <c r="B25" s="18">
        <v>5</v>
      </c>
      <c r="C25" s="33">
        <f>calibration!C29</f>
        <v>50.80947912596526</v>
      </c>
      <c r="D25" s="39">
        <f t="shared" si="0"/>
        <v>0</v>
      </c>
      <c r="E25" s="121">
        <f t="shared" si="1"/>
        <v>0</v>
      </c>
      <c r="F25" s="27">
        <f t="shared" si="2"/>
        <v>0.018767414341804747</v>
      </c>
    </row>
    <row r="26" spans="2:7" ht="12.75">
      <c r="B26" s="18">
        <v>4</v>
      </c>
      <c r="C26" s="33">
        <f>calibration!C30</f>
        <v>49.031581265503895</v>
      </c>
      <c r="D26" s="39">
        <f t="shared" si="0"/>
        <v>0</v>
      </c>
      <c r="E26" s="121">
        <f t="shared" si="1"/>
        <v>0</v>
      </c>
      <c r="F26" s="27">
        <f t="shared" si="2"/>
        <v>0.0061586494359624055</v>
      </c>
      <c r="G26" s="80"/>
    </row>
    <row r="27" spans="2:6" ht="12.75">
      <c r="B27" s="18">
        <v>3</v>
      </c>
      <c r="C27" s="33">
        <f>calibration!C31</f>
        <v>47.31589464705106</v>
      </c>
      <c r="D27" s="39">
        <f t="shared" si="0"/>
        <v>0</v>
      </c>
      <c r="E27" s="121">
        <f t="shared" si="1"/>
        <v>0</v>
      </c>
      <c r="F27" s="27">
        <f t="shared" si="2"/>
        <v>0.0015216948594702238</v>
      </c>
    </row>
    <row r="28" spans="2:6" ht="12.75">
      <c r="B28" s="18">
        <v>2</v>
      </c>
      <c r="C28" s="33">
        <f>calibration!C32</f>
        <v>45.66024240841557</v>
      </c>
      <c r="D28" s="39">
        <f t="shared" si="0"/>
        <v>0</v>
      </c>
      <c r="E28" s="121">
        <f t="shared" si="1"/>
        <v>0</v>
      </c>
      <c r="F28" s="27">
        <f t="shared" si="2"/>
        <v>0.0002663221835407994</v>
      </c>
    </row>
    <row r="29" spans="2:6" ht="12.75">
      <c r="B29" s="18">
        <v>1</v>
      </c>
      <c r="C29" s="33">
        <f>calibration!C33</f>
        <v>44.0625238589927</v>
      </c>
      <c r="D29" s="39">
        <f t="shared" si="0"/>
        <v>0</v>
      </c>
      <c r="E29" s="121">
        <f t="shared" si="1"/>
        <v>0</v>
      </c>
      <c r="F29" s="27">
        <f t="shared" si="2"/>
        <v>2.9438437640914504E-05</v>
      </c>
    </row>
    <row r="30" spans="2:6" ht="12.75">
      <c r="B30" s="23">
        <v>0</v>
      </c>
      <c r="C30" s="34">
        <f>calibration!C34</f>
        <v>42.52071181440912</v>
      </c>
      <c r="D30" s="40">
        <f t="shared" si="0"/>
        <v>0</v>
      </c>
      <c r="E30" s="122">
        <f t="shared" si="1"/>
        <v>0</v>
      </c>
      <c r="F30" s="28">
        <f t="shared" si="2"/>
        <v>1.5456664541708846E-06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K32"/>
  <sheetViews>
    <sheetView workbookViewId="0" topLeftCell="A1">
      <selection activeCell="F10" sqref="F10"/>
    </sheetView>
  </sheetViews>
  <sheetFormatPr defaultColWidth="9.00390625" defaultRowHeight="12.75"/>
  <cols>
    <col min="1" max="1" width="2.375" style="2" customWidth="1"/>
    <col min="2" max="2" width="11.00390625" style="2" customWidth="1"/>
    <col min="3" max="3" width="10.75390625" style="2" bestFit="1" customWidth="1"/>
    <col min="4" max="4" width="10.125" style="2" customWidth="1"/>
    <col min="5" max="5" width="11.125" style="2" customWidth="1"/>
    <col min="6" max="6" width="10.875" style="2" customWidth="1"/>
    <col min="7" max="7" width="12.75390625" style="2" customWidth="1"/>
    <col min="8" max="8" width="12.125" style="2" customWidth="1"/>
    <col min="9" max="9" width="12.25390625" style="2" bestFit="1" customWidth="1"/>
    <col min="10" max="10" width="9.125" style="2" customWidth="1"/>
    <col min="11" max="12" width="12.125" style="2" bestFit="1" customWidth="1"/>
    <col min="13" max="16384" width="9.125" style="2" customWidth="1"/>
  </cols>
  <sheetData>
    <row r="1" s="3" customFormat="1" ht="12.75">
      <c r="B1" s="3" t="s">
        <v>0</v>
      </c>
    </row>
    <row r="2" s="3" customFormat="1" ht="12.75">
      <c r="B2" s="3" t="s">
        <v>1</v>
      </c>
    </row>
    <row r="3" spans="2:8" s="1" customFormat="1" ht="12.75">
      <c r="B3" s="1" t="s">
        <v>74</v>
      </c>
      <c r="C3" s="14" t="s">
        <v>83</v>
      </c>
      <c r="D3" s="15"/>
      <c r="E3" s="15"/>
      <c r="F3" s="16"/>
      <c r="G3" s="35"/>
      <c r="H3" s="35"/>
    </row>
    <row r="5" spans="2:11" ht="12.75">
      <c r="B5" s="17" t="s">
        <v>51</v>
      </c>
      <c r="C5" s="44"/>
      <c r="D5" s="45">
        <f>SUMPRODUCT(E11:E31,G11:G31)</f>
        <v>0.09569300903881972</v>
      </c>
      <c r="E5" s="58"/>
      <c r="H5" s="42" t="s">
        <v>58</v>
      </c>
      <c r="I5" s="24" t="s">
        <v>59</v>
      </c>
      <c r="K5" s="4" t="s">
        <v>2</v>
      </c>
    </row>
    <row r="6" spans="2:11" ht="12.75">
      <c r="B6" s="46" t="s">
        <v>84</v>
      </c>
      <c r="C6" s="54"/>
      <c r="D6" s="130">
        <f>I_wealth/'option prices'!D5</f>
        <v>4556.142419453849</v>
      </c>
      <c r="E6" s="35"/>
      <c r="H6" s="88">
        <f>J22</f>
        <v>0.7402597402597404</v>
      </c>
      <c r="I6" s="43">
        <f>I_wealth*(1+r_f_hor)-'call-58'!D6*'call-58'!D22</f>
        <v>12408.693242313706</v>
      </c>
      <c r="K6" s="5" t="s">
        <v>3</v>
      </c>
    </row>
    <row r="7" spans="2:11" ht="12.75">
      <c r="B7" s="46" t="s">
        <v>85</v>
      </c>
      <c r="C7" s="49"/>
      <c r="D7" s="69">
        <f>H32^0.5</f>
        <v>0.7154405038476713</v>
      </c>
      <c r="E7" s="49"/>
      <c r="H7" s="86"/>
      <c r="I7" s="87"/>
      <c r="K7" s="6" t="s">
        <v>4</v>
      </c>
    </row>
    <row r="8" spans="2:11" ht="12.75">
      <c r="B8" s="51" t="s">
        <v>57</v>
      </c>
      <c r="C8" s="52"/>
      <c r="D8" s="53">
        <f>(D5-r_f_hor)/D7</f>
        <v>0.12492598444782978</v>
      </c>
      <c r="E8" s="127"/>
      <c r="K8" s="7" t="s">
        <v>5</v>
      </c>
    </row>
    <row r="10" spans="2:9" ht="25.5">
      <c r="B10" s="30" t="s">
        <v>46</v>
      </c>
      <c r="C10" s="31" t="s">
        <v>47</v>
      </c>
      <c r="D10" s="31" t="s">
        <v>68</v>
      </c>
      <c r="E10" s="36" t="s">
        <v>50</v>
      </c>
      <c r="F10" s="31" t="s">
        <v>92</v>
      </c>
      <c r="G10" s="38" t="s">
        <v>75</v>
      </c>
      <c r="H10" s="38" t="s">
        <v>54</v>
      </c>
      <c r="I10" s="38" t="s">
        <v>52</v>
      </c>
    </row>
    <row r="11" spans="2:9" ht="12.75">
      <c r="B11" s="18">
        <v>20</v>
      </c>
      <c r="C11" s="33">
        <f>calibration!C14</f>
        <v>86.69167465981542</v>
      </c>
      <c r="D11" s="39">
        <f>MAX(C11-58,0)</f>
        <v>28.69167465981542</v>
      </c>
      <c r="E11" s="139">
        <f>(D11-'option prices'!$D$5)/'option prices'!$D$5</f>
        <v>7.714890400183607</v>
      </c>
      <c r="F11" s="27">
        <f>BINOMDIST(B11,20,Data!p,0)</f>
        <v>9.5367431640625E-07</v>
      </c>
      <c r="G11" s="60">
        <v>0</v>
      </c>
      <c r="H11" s="144">
        <f aca="true" t="shared" si="0" ref="H11:H31">G11*(D11-$D$5)^2</f>
        <v>0</v>
      </c>
      <c r="I11" s="112">
        <f>SUM(G11:$G$31)</f>
        <v>1</v>
      </c>
    </row>
    <row r="12" spans="2:9" ht="12.75">
      <c r="B12" s="18">
        <v>19</v>
      </c>
      <c r="C12" s="33">
        <f>calibration!C15</f>
        <v>83.65820638679126</v>
      </c>
      <c r="D12" s="39">
        <f aca="true" t="shared" si="1" ref="D12:D31">MAX(C12-58,0)</f>
        <v>25.658206386791264</v>
      </c>
      <c r="E12" s="139">
        <f>(D12-'option prices'!$D$5)/'option prices'!$D$5</f>
        <v>6.793496168397423</v>
      </c>
      <c r="F12" s="27">
        <f>BINOMDIST(B12,20,Data!p,0)</f>
        <v>1.9073486328125E-05</v>
      </c>
      <c r="G12" s="60">
        <v>0</v>
      </c>
      <c r="H12" s="145">
        <f t="shared" si="0"/>
        <v>0</v>
      </c>
      <c r="I12" s="112">
        <f>SUM(G12:$G$31)</f>
        <v>1</v>
      </c>
    </row>
    <row r="13" spans="2:9" ht="12.75">
      <c r="B13" s="18">
        <v>18</v>
      </c>
      <c r="C13" s="33">
        <f>calibration!C16</f>
        <v>80.73088359774296</v>
      </c>
      <c r="D13" s="39">
        <f t="shared" si="1"/>
        <v>22.73088359774296</v>
      </c>
      <c r="E13" s="139">
        <f>(D13-'option prices'!$D$5)/'option prices'!$D$5</f>
        <v>5.904342866089627</v>
      </c>
      <c r="F13" s="27">
        <f>BINOMDIST(B13,20,Data!p,0)</f>
        <v>0.00018119812011718753</v>
      </c>
      <c r="G13" s="60">
        <v>0</v>
      </c>
      <c r="H13" s="145">
        <f t="shared" si="0"/>
        <v>0</v>
      </c>
      <c r="I13" s="112">
        <f>SUM(G13:$G$31)</f>
        <v>1</v>
      </c>
    </row>
    <row r="14" spans="2:9" ht="12.75">
      <c r="B14" s="18">
        <v>17</v>
      </c>
      <c r="C14" s="33">
        <f>calibration!C17</f>
        <v>77.90599210720546</v>
      </c>
      <c r="D14" s="39">
        <f t="shared" si="1"/>
        <v>19.905992107205464</v>
      </c>
      <c r="E14" s="139">
        <f>(D14-'option prices'!$D$5)/'option prices'!$D$5</f>
        <v>5.046302336063488</v>
      </c>
      <c r="F14" s="27">
        <f>BINOMDIST(B14,20,Data!p,0)</f>
        <v>0.0010871887207031254</v>
      </c>
      <c r="G14" s="60">
        <v>0</v>
      </c>
      <c r="H14" s="145">
        <f t="shared" si="0"/>
        <v>0</v>
      </c>
      <c r="I14" s="112">
        <f>SUM(G14:$G$31)</f>
        <v>1</v>
      </c>
    </row>
    <row r="15" spans="2:9" ht="12.75">
      <c r="B15" s="18">
        <v>16</v>
      </c>
      <c r="C15" s="33">
        <f>calibration!C18</f>
        <v>75.17994769448605</v>
      </c>
      <c r="D15" s="39">
        <f t="shared" si="1"/>
        <v>17.179947694486046</v>
      </c>
      <c r="E15" s="139">
        <f>(D15-'option prices'!$D$5)/'option prices'!$D$5</f>
        <v>4.218285896989748</v>
      </c>
      <c r="F15" s="27">
        <f>BINOMDIST(B15,20,Data!p,0)</f>
        <v>0.004620552062988283</v>
      </c>
      <c r="G15" s="60">
        <v>0</v>
      </c>
      <c r="H15" s="145">
        <f t="shared" si="0"/>
        <v>0</v>
      </c>
      <c r="I15" s="112">
        <f>SUM(G15:$G$31)</f>
        <v>1</v>
      </c>
    </row>
    <row r="16" spans="2:9" ht="12.75">
      <c r="B16" s="18">
        <v>15</v>
      </c>
      <c r="C16" s="33">
        <f>calibration!C19</f>
        <v>72.54929155600739</v>
      </c>
      <c r="D16" s="39">
        <f t="shared" si="1"/>
        <v>14.54929155600739</v>
      </c>
      <c r="E16" s="139">
        <f>(D16-'option prices'!$D$5)/'option prices'!$D$5</f>
        <v>3.419242962088464</v>
      </c>
      <c r="F16" s="27">
        <f>BINOMDIST(B16,20,Data!p,0)</f>
        <v>0.014785766601562505</v>
      </c>
      <c r="G16" s="60">
        <v>0</v>
      </c>
      <c r="H16" s="145">
        <f t="shared" si="0"/>
        <v>0</v>
      </c>
      <c r="I16" s="112">
        <f>SUM(G16:$G$31)</f>
        <v>1</v>
      </c>
    </row>
    <row r="17" spans="2:9" ht="12.75">
      <c r="B17" s="18">
        <v>14</v>
      </c>
      <c r="C17" s="33">
        <f>calibration!C20</f>
        <v>70.01068591677937</v>
      </c>
      <c r="D17" s="39">
        <f t="shared" si="1"/>
        <v>12.010685916779366</v>
      </c>
      <c r="E17" s="139">
        <f>(D17-'option prices'!$D$5)/'option prices'!$D$5</f>
        <v>2.648159706145027</v>
      </c>
      <c r="F17" s="27">
        <f>BINOMDIST(B17,20,Data!p,0)</f>
        <v>0.03696441650390628</v>
      </c>
      <c r="G17" s="60">
        <v>0</v>
      </c>
      <c r="H17" s="145">
        <f t="shared" si="0"/>
        <v>0</v>
      </c>
      <c r="I17" s="112">
        <f>SUM(G17:$G$31)</f>
        <v>1</v>
      </c>
    </row>
    <row r="18" spans="2:9" ht="13.5" thickBot="1">
      <c r="B18" s="18">
        <v>13</v>
      </c>
      <c r="C18" s="33">
        <f>calibration!C21</f>
        <v>67.56090979543225</v>
      </c>
      <c r="D18" s="39">
        <f t="shared" si="1"/>
        <v>9.560909795432252</v>
      </c>
      <c r="E18" s="139">
        <f>(D18-'option prices'!$D$5)/'option prices'!$D$5</f>
        <v>1.9040577791693802</v>
      </c>
      <c r="F18" s="27">
        <f>BINOMDIST(B18,20,Data!p,0)</f>
        <v>0.07392883300781257</v>
      </c>
      <c r="G18" s="60">
        <v>0</v>
      </c>
      <c r="H18" s="145">
        <f t="shared" si="0"/>
        <v>0</v>
      </c>
      <c r="I18" s="112">
        <f>SUM(G18:$G$31)</f>
        <v>1</v>
      </c>
    </row>
    <row r="19" spans="2:9" ht="12.75">
      <c r="B19" s="132">
        <v>12</v>
      </c>
      <c r="C19" s="94">
        <f>calibration!C22</f>
        <v>65.19685491743726</v>
      </c>
      <c r="D19" s="137">
        <f t="shared" si="1"/>
        <v>7.196854917437264</v>
      </c>
      <c r="E19" s="140">
        <f>(D19-'option prices'!$D$5)/'option prices'!$D$5</f>
        <v>1.185993065066063</v>
      </c>
      <c r="F19" s="128">
        <f>BINOMDIST(B19,20,Data!p,0)</f>
        <v>0.12013435363769544</v>
      </c>
      <c r="G19" s="124">
        <f>F19/SUM($F$19:$F$22)</f>
        <v>0.19480519480519498</v>
      </c>
      <c r="H19" s="146">
        <f>G19*(E19-$D$5)^2</f>
        <v>0.23157549587785928</v>
      </c>
      <c r="I19" s="133">
        <f>SUM(G19:$G$31)</f>
        <v>1</v>
      </c>
    </row>
    <row r="20" spans="2:9" ht="12.75">
      <c r="B20" s="18">
        <v>11</v>
      </c>
      <c r="C20" s="33">
        <f>calibration!C23</f>
        <v>62.91552177132976</v>
      </c>
      <c r="D20" s="39">
        <f t="shared" si="1"/>
        <v>4.915521771329757</v>
      </c>
      <c r="E20" s="139">
        <f>(D20-'option prices'!$D$5)/'option prices'!$D$5</f>
        <v>0.49305448374029537</v>
      </c>
      <c r="F20" s="27">
        <f>BINOMDIST(B20,20,Data!p,0)</f>
        <v>0.16017913818359372</v>
      </c>
      <c r="G20" s="125">
        <f>F20/SUM($F$19:$F$22)</f>
        <v>0.25974025974025966</v>
      </c>
      <c r="H20" s="147">
        <f>G20*(E20-$D$5)^2</f>
        <v>0.04101198482517699</v>
      </c>
      <c r="I20" s="134">
        <f>SUM(G20:$G$31)</f>
        <v>0.805194805194805</v>
      </c>
    </row>
    <row r="21" spans="2:9" ht="12.75">
      <c r="B21" s="18">
        <v>10</v>
      </c>
      <c r="C21" s="33">
        <f>calibration!C24</f>
        <v>60.71401580293074</v>
      </c>
      <c r="D21" s="39">
        <f t="shared" si="1"/>
        <v>2.7140158029307386</v>
      </c>
      <c r="E21" s="139">
        <f>(D21-'option prices'!$D$5)/'option prices'!$D$5</f>
        <v>-0.17563716487994427</v>
      </c>
      <c r="F21" s="27">
        <f>BINOMDIST(B21,20,Data!p,0)</f>
        <v>0.17619705200195312</v>
      </c>
      <c r="G21" s="125">
        <f>F21/SUM($F$19:$F$22)</f>
        <v>0.28571428571428564</v>
      </c>
      <c r="H21" s="147">
        <f>G21*(E21-$D$5)^2</f>
        <v>0.02103430379393906</v>
      </c>
      <c r="I21" s="134">
        <f>SUM(G21:$G$31)</f>
        <v>0.5454545454545453</v>
      </c>
    </row>
    <row r="22" spans="2:10" ht="13.5" thickBot="1">
      <c r="B22" s="135">
        <v>9</v>
      </c>
      <c r="C22" s="123">
        <f>calibration!C25</f>
        <v>58.589543742738236</v>
      </c>
      <c r="D22" s="138">
        <f t="shared" si="1"/>
        <v>0.5895437427382362</v>
      </c>
      <c r="E22" s="141">
        <f>(D22-'option prices'!$D$5)/'option prices'!$D$5</f>
        <v>-0.8209303163724491</v>
      </c>
      <c r="F22" s="129">
        <f>BINOMDIST(B22,20,Data!p,0)</f>
        <v>0.16017913818359372</v>
      </c>
      <c r="G22" s="126">
        <f>F22/SUM($F$19:$F$22)</f>
        <v>0.25974025974025966</v>
      </c>
      <c r="H22" s="148">
        <f>G22*(E22-$D$5)^2</f>
        <v>0.2182333300488344</v>
      </c>
      <c r="I22" s="136">
        <f>SUM(G22:$G$31)</f>
        <v>0.25974025974025966</v>
      </c>
      <c r="J22" s="131">
        <f>1-I22</f>
        <v>0.7402597402597404</v>
      </c>
    </row>
    <row r="23" spans="2:10" ht="12.75">
      <c r="B23" s="18">
        <v>8</v>
      </c>
      <c r="C23" s="33">
        <f>calibration!C26</f>
        <v>56.539410061828484</v>
      </c>
      <c r="D23" s="39">
        <f t="shared" si="1"/>
        <v>0</v>
      </c>
      <c r="E23" s="139">
        <f>(D23-'option prices'!$D$5)/'option prices'!$D$5</f>
        <v>-1</v>
      </c>
      <c r="F23" s="27">
        <f>BINOMDIST(B23,20,Data!p,0)</f>
        <v>0.12013435363769544</v>
      </c>
      <c r="G23" s="60">
        <v>0</v>
      </c>
      <c r="H23" s="145">
        <f t="shared" si="0"/>
        <v>0</v>
      </c>
      <c r="I23" s="112">
        <f>SUM(G23:$G$31)</f>
        <v>0</v>
      </c>
      <c r="J23" s="80"/>
    </row>
    <row r="24" spans="2:9" ht="12.75">
      <c r="B24" s="18">
        <v>7</v>
      </c>
      <c r="C24" s="79">
        <f>calibration!C27</f>
        <v>54.56101355177052</v>
      </c>
      <c r="D24" s="39">
        <f t="shared" si="1"/>
        <v>0</v>
      </c>
      <c r="E24" s="139">
        <f>(D24-'option prices'!$D$5)/'option prices'!$D$5</f>
        <v>-1</v>
      </c>
      <c r="F24" s="27">
        <f>BINOMDIST(B24,20,Data!p,0)</f>
        <v>0.07392883300781257</v>
      </c>
      <c r="G24" s="60">
        <v>0</v>
      </c>
      <c r="H24" s="145">
        <f t="shared" si="0"/>
        <v>0</v>
      </c>
      <c r="I24" s="112">
        <f>SUM(G24:$G$31)</f>
        <v>0</v>
      </c>
    </row>
    <row r="25" spans="2:10" ht="12.75">
      <c r="B25" s="18">
        <v>6</v>
      </c>
      <c r="C25" s="79">
        <f>calibration!C28</f>
        <v>52.6518440242143</v>
      </c>
      <c r="D25" s="39">
        <f t="shared" si="1"/>
        <v>0</v>
      </c>
      <c r="E25" s="139">
        <f>(D25-'option prices'!$D$5)/'option prices'!$D$5</f>
        <v>-1</v>
      </c>
      <c r="F25" s="27">
        <f>BINOMDIST(B25,20,Data!p,0)</f>
        <v>0.03696441650390628</v>
      </c>
      <c r="G25" s="60">
        <v>0</v>
      </c>
      <c r="H25" s="145">
        <f t="shared" si="0"/>
        <v>0</v>
      </c>
      <c r="I25" s="112">
        <f>SUM(G25:$G$31)</f>
        <v>0</v>
      </c>
      <c r="J25" s="80"/>
    </row>
    <row r="26" spans="2:9" ht="12.75">
      <c r="B26" s="18">
        <v>5</v>
      </c>
      <c r="C26" s="33">
        <f>calibration!C29</f>
        <v>50.80947912596526</v>
      </c>
      <c r="D26" s="39">
        <f t="shared" si="1"/>
        <v>0</v>
      </c>
      <c r="E26" s="139">
        <f>(D26-'option prices'!$D$5)/'option prices'!$D$5</f>
        <v>-1</v>
      </c>
      <c r="F26" s="27">
        <f>BINOMDIST(B26,20,Data!p,0)</f>
        <v>0.014785766601562505</v>
      </c>
      <c r="G26" s="60">
        <v>0</v>
      </c>
      <c r="H26" s="145">
        <f t="shared" si="0"/>
        <v>0</v>
      </c>
      <c r="I26" s="112">
        <f>SUM(G26:$G$31)</f>
        <v>0</v>
      </c>
    </row>
    <row r="27" spans="2:10" ht="12.75">
      <c r="B27" s="18">
        <v>4</v>
      </c>
      <c r="C27" s="33">
        <f>calibration!C30</f>
        <v>49.031581265503895</v>
      </c>
      <c r="D27" s="39">
        <f t="shared" si="1"/>
        <v>0</v>
      </c>
      <c r="E27" s="139">
        <f>(D27-'option prices'!$D$5)/'option prices'!$D$5</f>
        <v>-1</v>
      </c>
      <c r="F27" s="27">
        <f>BINOMDIST(B27,20,Data!p,0)</f>
        <v>0.004620552062988283</v>
      </c>
      <c r="G27" s="60">
        <v>0</v>
      </c>
      <c r="H27" s="145">
        <f t="shared" si="0"/>
        <v>0</v>
      </c>
      <c r="I27" s="112">
        <f>SUM(G27:$G$31)</f>
        <v>0</v>
      </c>
      <c r="J27" s="80"/>
    </row>
    <row r="28" spans="2:9" ht="12.75">
      <c r="B28" s="18">
        <v>3</v>
      </c>
      <c r="C28" s="33">
        <f>calibration!C31</f>
        <v>47.31589464705106</v>
      </c>
      <c r="D28" s="39">
        <f t="shared" si="1"/>
        <v>0</v>
      </c>
      <c r="E28" s="139">
        <f>(D28-'option prices'!$D$5)/'option prices'!$D$5</f>
        <v>-1</v>
      </c>
      <c r="F28" s="27">
        <f>BINOMDIST(B28,20,Data!p,0)</f>
        <v>0.0010871887207031254</v>
      </c>
      <c r="G28" s="60">
        <v>0</v>
      </c>
      <c r="H28" s="145">
        <f t="shared" si="0"/>
        <v>0</v>
      </c>
      <c r="I28" s="112">
        <f>SUM(G28:$G$31)</f>
        <v>0</v>
      </c>
    </row>
    <row r="29" spans="2:9" ht="12.75">
      <c r="B29" s="18">
        <v>2</v>
      </c>
      <c r="C29" s="33">
        <f>calibration!C32</f>
        <v>45.66024240841557</v>
      </c>
      <c r="D29" s="39">
        <f t="shared" si="1"/>
        <v>0</v>
      </c>
      <c r="E29" s="139">
        <f>(D29-'option prices'!$D$5)/'option prices'!$D$5</f>
        <v>-1</v>
      </c>
      <c r="F29" s="27">
        <f>BINOMDIST(B29,20,Data!p,0)</f>
        <v>0.00018119812011718753</v>
      </c>
      <c r="G29" s="60">
        <v>0</v>
      </c>
      <c r="H29" s="145">
        <f t="shared" si="0"/>
        <v>0</v>
      </c>
      <c r="I29" s="112">
        <f>SUM(G29:$G$31)</f>
        <v>0</v>
      </c>
    </row>
    <row r="30" spans="2:9" ht="12.75">
      <c r="B30" s="18">
        <v>1</v>
      </c>
      <c r="C30" s="33">
        <f>calibration!C33</f>
        <v>44.0625238589927</v>
      </c>
      <c r="D30" s="39">
        <f t="shared" si="1"/>
        <v>0</v>
      </c>
      <c r="E30" s="139">
        <f>(D30-'option prices'!$D$5)/'option prices'!$D$5</f>
        <v>-1</v>
      </c>
      <c r="F30" s="27">
        <f>BINOMDIST(B30,20,Data!p,0)</f>
        <v>1.9073486328125E-05</v>
      </c>
      <c r="G30" s="60">
        <v>0</v>
      </c>
      <c r="H30" s="145">
        <f t="shared" si="0"/>
        <v>0</v>
      </c>
      <c r="I30" s="112">
        <f>SUM(G30:$G$31)</f>
        <v>0</v>
      </c>
    </row>
    <row r="31" spans="2:9" ht="12.75">
      <c r="B31" s="23">
        <v>0</v>
      </c>
      <c r="C31" s="34">
        <f>calibration!C34</f>
        <v>42.52071181440912</v>
      </c>
      <c r="D31" s="40">
        <f t="shared" si="1"/>
        <v>0</v>
      </c>
      <c r="E31" s="142">
        <f>(D31-'option prices'!$D$5)/'option prices'!$D$5</f>
        <v>-1</v>
      </c>
      <c r="F31" s="28">
        <f>BINOMDIST(B31,20,Data!p,0)</f>
        <v>9.5367431640625E-07</v>
      </c>
      <c r="G31" s="143">
        <v>0</v>
      </c>
      <c r="H31" s="149">
        <f t="shared" si="0"/>
        <v>0</v>
      </c>
      <c r="I31" s="116">
        <f>SUM(G31:$G$31)</f>
        <v>0</v>
      </c>
    </row>
    <row r="32" spans="7:9" ht="12.75">
      <c r="G32" s="92" t="s">
        <v>76</v>
      </c>
      <c r="H32" s="89">
        <f>SUM(H11:H31)</f>
        <v>0.5118551145458098</v>
      </c>
      <c r="I32" s="37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K32"/>
  <sheetViews>
    <sheetView workbookViewId="0" topLeftCell="A1">
      <selection activeCell="K13" sqref="K13"/>
    </sheetView>
  </sheetViews>
  <sheetFormatPr defaultColWidth="9.00390625" defaultRowHeight="12.75"/>
  <cols>
    <col min="1" max="1" width="2.375" style="2" customWidth="1"/>
    <col min="2" max="2" width="11.00390625" style="2" customWidth="1"/>
    <col min="3" max="3" width="10.75390625" style="2" bestFit="1" customWidth="1"/>
    <col min="4" max="4" width="10.125" style="2" customWidth="1"/>
    <col min="5" max="5" width="11.125" style="2" customWidth="1"/>
    <col min="6" max="6" width="10.875" style="2" customWidth="1"/>
    <col min="7" max="7" width="12.75390625" style="2" customWidth="1"/>
    <col min="8" max="8" width="12.125" style="2" customWidth="1"/>
    <col min="9" max="9" width="12.25390625" style="2" bestFit="1" customWidth="1"/>
    <col min="10" max="10" width="9.125" style="2" customWidth="1"/>
    <col min="11" max="12" width="12.125" style="2" bestFit="1" customWidth="1"/>
    <col min="13" max="16384" width="9.125" style="2" customWidth="1"/>
  </cols>
  <sheetData>
    <row r="1" s="3" customFormat="1" ht="12.75">
      <c r="B1" s="3" t="s">
        <v>0</v>
      </c>
    </row>
    <row r="2" s="3" customFormat="1" ht="12.75">
      <c r="B2" s="3" t="s">
        <v>1</v>
      </c>
    </row>
    <row r="3" spans="2:8" s="1" customFormat="1" ht="12.75">
      <c r="B3" s="1" t="s">
        <v>74</v>
      </c>
      <c r="C3" s="14" t="s">
        <v>89</v>
      </c>
      <c r="D3" s="15"/>
      <c r="E3" s="15"/>
      <c r="F3" s="16"/>
      <c r="G3" s="35"/>
      <c r="H3" s="35"/>
    </row>
    <row r="5" spans="2:11" ht="12.75">
      <c r="B5" s="17" t="s">
        <v>51</v>
      </c>
      <c r="C5" s="44"/>
      <c r="D5" s="45">
        <f>SUMPRODUCT(E11:E31,G11:G31)</f>
        <v>0.3840939692383531</v>
      </c>
      <c r="E5" s="58"/>
      <c r="H5" s="42" t="s">
        <v>58</v>
      </c>
      <c r="I5" s="24" t="s">
        <v>59</v>
      </c>
      <c r="K5" s="4" t="s">
        <v>2</v>
      </c>
    </row>
    <row r="6" spans="2:11" ht="12.75">
      <c r="B6" s="46" t="s">
        <v>71</v>
      </c>
      <c r="C6" s="54"/>
      <c r="D6" s="130">
        <f>I_wealth/G8</f>
        <v>12708.620846432921</v>
      </c>
      <c r="E6" s="35"/>
      <c r="H6" s="88">
        <f>J22</f>
        <v>0.7402597402597404</v>
      </c>
      <c r="I6" s="43">
        <f>I_wealth*(1+r_f_hor)-'bull-58-60'!D6*'bull-58-60'!D22</f>
        <v>7602.450597879734</v>
      </c>
      <c r="K6" s="5" t="s">
        <v>3</v>
      </c>
    </row>
    <row r="7" spans="2:11" ht="12.75">
      <c r="B7" s="46" t="s">
        <v>85</v>
      </c>
      <c r="C7" s="49"/>
      <c r="D7" s="69">
        <f>H32^0.5</f>
        <v>0.5239966208094535</v>
      </c>
      <c r="E7" s="49"/>
      <c r="H7" s="86"/>
      <c r="I7" s="87"/>
      <c r="K7" s="6" t="s">
        <v>4</v>
      </c>
    </row>
    <row r="8" spans="2:11" ht="12.75">
      <c r="B8" s="51" t="s">
        <v>57</v>
      </c>
      <c r="C8" s="52"/>
      <c r="D8" s="53">
        <f>(D5-r_f_hor)/D7</f>
        <v>0.7209551635523438</v>
      </c>
      <c r="E8" s="127"/>
      <c r="F8" s="64" t="s">
        <v>90</v>
      </c>
      <c r="G8" s="150">
        <f>'option prices'!D5-'option prices'!D6</f>
        <v>1.1803011657405946</v>
      </c>
      <c r="K8" s="7" t="s">
        <v>5</v>
      </c>
    </row>
    <row r="10" spans="2:9" ht="25.5">
      <c r="B10" s="30" t="s">
        <v>46</v>
      </c>
      <c r="C10" s="31" t="s">
        <v>47</v>
      </c>
      <c r="D10" s="31" t="s">
        <v>88</v>
      </c>
      <c r="E10" s="31" t="s">
        <v>50</v>
      </c>
      <c r="F10" s="31" t="s">
        <v>92</v>
      </c>
      <c r="G10" s="38" t="s">
        <v>75</v>
      </c>
      <c r="H10" s="151" t="s">
        <v>54</v>
      </c>
      <c r="I10" s="38" t="s">
        <v>52</v>
      </c>
    </row>
    <row r="11" spans="2:9" ht="12.75">
      <c r="B11" s="18">
        <v>20</v>
      </c>
      <c r="C11" s="33">
        <f>calibration!C14</f>
        <v>86.69167465981542</v>
      </c>
      <c r="D11" s="169">
        <f>MAX(C11-58,0)-MAX(C11-60,0)</f>
        <v>2</v>
      </c>
      <c r="E11" s="72">
        <f aca="true" t="shared" si="0" ref="E11:E20">(D11-$G$8)/$G$8</f>
        <v>0.6944827795243895</v>
      </c>
      <c r="F11" s="27">
        <f>BINOMDIST(B11,20,Data!p,0)</f>
        <v>9.5367431640625E-07</v>
      </c>
      <c r="G11" s="60">
        <v>0</v>
      </c>
      <c r="H11" s="144">
        <f>G11*(E11-$D$5)^2</f>
        <v>0</v>
      </c>
      <c r="I11" s="112">
        <f>SUM(G11:$G$31)</f>
        <v>1</v>
      </c>
    </row>
    <row r="12" spans="2:9" ht="12.75">
      <c r="B12" s="18">
        <v>19</v>
      </c>
      <c r="C12" s="33">
        <f>calibration!C15</f>
        <v>83.65820638679126</v>
      </c>
      <c r="D12" s="169">
        <f aca="true" t="shared" si="1" ref="D12:D31">MAX(C12-58,0)-MAX(C12-60,0)</f>
        <v>2</v>
      </c>
      <c r="E12" s="72">
        <f t="shared" si="0"/>
        <v>0.6944827795243895</v>
      </c>
      <c r="F12" s="27">
        <f>BINOMDIST(B12,20,Data!p,0)</f>
        <v>1.9073486328125E-05</v>
      </c>
      <c r="G12" s="60">
        <v>0</v>
      </c>
      <c r="H12" s="145">
        <f aca="true" t="shared" si="2" ref="H12:H31">G12*(E12-$D$5)^2</f>
        <v>0</v>
      </c>
      <c r="I12" s="112">
        <f>SUM(G12:$G$31)</f>
        <v>1</v>
      </c>
    </row>
    <row r="13" spans="2:9" ht="12.75">
      <c r="B13" s="18">
        <v>18</v>
      </c>
      <c r="C13" s="33">
        <f>calibration!C16</f>
        <v>80.73088359774296</v>
      </c>
      <c r="D13" s="169">
        <f t="shared" si="1"/>
        <v>2</v>
      </c>
      <c r="E13" s="72">
        <f t="shared" si="0"/>
        <v>0.6944827795243895</v>
      </c>
      <c r="F13" s="27">
        <f>BINOMDIST(B13,20,Data!p,0)</f>
        <v>0.00018119812011718753</v>
      </c>
      <c r="G13" s="60">
        <v>0</v>
      </c>
      <c r="H13" s="145">
        <f t="shared" si="2"/>
        <v>0</v>
      </c>
      <c r="I13" s="112">
        <f>SUM(G13:$G$31)</f>
        <v>1</v>
      </c>
    </row>
    <row r="14" spans="2:9" ht="12.75">
      <c r="B14" s="18">
        <v>17</v>
      </c>
      <c r="C14" s="33">
        <f>calibration!C17</f>
        <v>77.90599210720546</v>
      </c>
      <c r="D14" s="169">
        <f t="shared" si="1"/>
        <v>2</v>
      </c>
      <c r="E14" s="72">
        <f t="shared" si="0"/>
        <v>0.6944827795243895</v>
      </c>
      <c r="F14" s="27">
        <f>BINOMDIST(B14,20,Data!p,0)</f>
        <v>0.0010871887207031254</v>
      </c>
      <c r="G14" s="60">
        <v>0</v>
      </c>
      <c r="H14" s="145">
        <f t="shared" si="2"/>
        <v>0</v>
      </c>
      <c r="I14" s="112">
        <f>SUM(G14:$G$31)</f>
        <v>1</v>
      </c>
    </row>
    <row r="15" spans="2:9" ht="12.75">
      <c r="B15" s="18">
        <v>16</v>
      </c>
      <c r="C15" s="33">
        <f>calibration!C18</f>
        <v>75.17994769448605</v>
      </c>
      <c r="D15" s="169">
        <f t="shared" si="1"/>
        <v>2</v>
      </c>
      <c r="E15" s="72">
        <f t="shared" si="0"/>
        <v>0.6944827795243895</v>
      </c>
      <c r="F15" s="27">
        <f>BINOMDIST(B15,20,Data!p,0)</f>
        <v>0.004620552062988283</v>
      </c>
      <c r="G15" s="60">
        <v>0</v>
      </c>
      <c r="H15" s="145">
        <f t="shared" si="2"/>
        <v>0</v>
      </c>
      <c r="I15" s="112">
        <f>SUM(G15:$G$31)</f>
        <v>1</v>
      </c>
    </row>
    <row r="16" spans="2:9" ht="12.75">
      <c r="B16" s="18">
        <v>15</v>
      </c>
      <c r="C16" s="33">
        <f>calibration!C19</f>
        <v>72.54929155600739</v>
      </c>
      <c r="D16" s="169">
        <f t="shared" si="1"/>
        <v>2</v>
      </c>
      <c r="E16" s="72">
        <f t="shared" si="0"/>
        <v>0.6944827795243895</v>
      </c>
      <c r="F16" s="27">
        <f>BINOMDIST(B16,20,Data!p,0)</f>
        <v>0.014785766601562505</v>
      </c>
      <c r="G16" s="60">
        <v>0</v>
      </c>
      <c r="H16" s="145">
        <f t="shared" si="2"/>
        <v>0</v>
      </c>
      <c r="I16" s="112">
        <f>SUM(G16:$G$31)</f>
        <v>1</v>
      </c>
    </row>
    <row r="17" spans="2:9" ht="12.75">
      <c r="B17" s="18">
        <v>14</v>
      </c>
      <c r="C17" s="33">
        <f>calibration!C20</f>
        <v>70.01068591677937</v>
      </c>
      <c r="D17" s="169">
        <f t="shared" si="1"/>
        <v>2</v>
      </c>
      <c r="E17" s="72">
        <f t="shared" si="0"/>
        <v>0.6944827795243895</v>
      </c>
      <c r="F17" s="27">
        <f>BINOMDIST(B17,20,Data!p,0)</f>
        <v>0.03696441650390628</v>
      </c>
      <c r="G17" s="60">
        <v>0</v>
      </c>
      <c r="H17" s="145">
        <f t="shared" si="2"/>
        <v>0</v>
      </c>
      <c r="I17" s="112">
        <f>SUM(G17:$G$31)</f>
        <v>1</v>
      </c>
    </row>
    <row r="18" spans="2:9" ht="13.5" thickBot="1">
      <c r="B18" s="18">
        <v>13</v>
      </c>
      <c r="C18" s="33">
        <f>calibration!C21</f>
        <v>67.56090979543225</v>
      </c>
      <c r="D18" s="169">
        <f t="shared" si="1"/>
        <v>2</v>
      </c>
      <c r="E18" s="72">
        <f t="shared" si="0"/>
        <v>0.6944827795243895</v>
      </c>
      <c r="F18" s="27">
        <f>BINOMDIST(B18,20,Data!p,0)</f>
        <v>0.07392883300781257</v>
      </c>
      <c r="G18" s="60">
        <v>0</v>
      </c>
      <c r="H18" s="145">
        <f t="shared" si="2"/>
        <v>0</v>
      </c>
      <c r="I18" s="112">
        <f>SUM(G18:$G$31)</f>
        <v>1</v>
      </c>
    </row>
    <row r="19" spans="2:9" ht="12.75">
      <c r="B19" s="93">
        <v>12</v>
      </c>
      <c r="C19" s="94">
        <f>calibration!C22</f>
        <v>65.19685491743726</v>
      </c>
      <c r="D19" s="170">
        <f t="shared" si="1"/>
        <v>2</v>
      </c>
      <c r="E19" s="152">
        <f t="shared" si="0"/>
        <v>0.6944827795243895</v>
      </c>
      <c r="F19" s="128">
        <f>BINOMDIST(B19,20,Data!p,0)</f>
        <v>0.12013435363769544</v>
      </c>
      <c r="G19" s="124">
        <f>F19/SUM($F$19:$F$22)</f>
        <v>0.19480519480519498</v>
      </c>
      <c r="H19" s="146">
        <f t="shared" si="2"/>
        <v>0.018767768873528805</v>
      </c>
      <c r="I19" s="113">
        <f>SUM(G19:$G$31)</f>
        <v>1</v>
      </c>
    </row>
    <row r="20" spans="2:9" ht="12.75">
      <c r="B20" s="99">
        <v>11</v>
      </c>
      <c r="C20" s="33">
        <f>calibration!C23</f>
        <v>62.91552177132976</v>
      </c>
      <c r="D20" s="169">
        <f t="shared" si="1"/>
        <v>2</v>
      </c>
      <c r="E20" s="72">
        <f t="shared" si="0"/>
        <v>0.6944827795243895</v>
      </c>
      <c r="F20" s="27">
        <f>BINOMDIST(B20,20,Data!p,0)</f>
        <v>0.16017913818359372</v>
      </c>
      <c r="G20" s="125">
        <f>F20/SUM($F$19:$F$22)</f>
        <v>0.25974025974025966</v>
      </c>
      <c r="H20" s="147">
        <f t="shared" si="2"/>
        <v>0.02502369183137171</v>
      </c>
      <c r="I20" s="114">
        <f>SUM(G20:$G$31)</f>
        <v>0.805194805194805</v>
      </c>
    </row>
    <row r="21" spans="2:9" ht="12.75">
      <c r="B21" s="99">
        <v>10</v>
      </c>
      <c r="C21" s="33">
        <f>calibration!C24</f>
        <v>60.71401580293074</v>
      </c>
      <c r="D21" s="169">
        <f t="shared" si="1"/>
        <v>2</v>
      </c>
      <c r="E21" s="72">
        <f aca="true" t="shared" si="3" ref="E21:E31">(D21-$G$8)/$G$8</f>
        <v>0.6944827795243895</v>
      </c>
      <c r="F21" s="27">
        <f>BINOMDIST(B21,20,Data!p,0)</f>
        <v>0.17619705200195312</v>
      </c>
      <c r="G21" s="125">
        <f>F21/SUM($F$19:$F$22)</f>
        <v>0.28571428571428564</v>
      </c>
      <c r="H21" s="147">
        <f t="shared" si="2"/>
        <v>0.02752606101450888</v>
      </c>
      <c r="I21" s="114">
        <f>SUM(G21:$G$31)</f>
        <v>0.5454545454545453</v>
      </c>
    </row>
    <row r="22" spans="2:10" ht="13.5" thickBot="1">
      <c r="B22" s="101">
        <v>9</v>
      </c>
      <c r="C22" s="123">
        <f>calibration!C25</f>
        <v>58.589543742738236</v>
      </c>
      <c r="D22" s="171">
        <f t="shared" si="1"/>
        <v>0.5895437427382362</v>
      </c>
      <c r="E22" s="153">
        <f t="shared" si="3"/>
        <v>-0.5005141400768509</v>
      </c>
      <c r="F22" s="129">
        <f>BINOMDIST(B22,20,Data!p,0)</f>
        <v>0.16017913818359372</v>
      </c>
      <c r="G22" s="126">
        <f>F22/SUM($F$19:$F$22)</f>
        <v>0.25974025974025966</v>
      </c>
      <c r="H22" s="148">
        <f t="shared" si="2"/>
        <v>0.20325493690031682</v>
      </c>
      <c r="I22" s="115">
        <f>SUM(G22:$G$31)</f>
        <v>0.25974025974025966</v>
      </c>
      <c r="J22" s="131">
        <f>1-I22</f>
        <v>0.7402597402597404</v>
      </c>
    </row>
    <row r="23" spans="2:10" ht="12.75">
      <c r="B23" s="18">
        <v>8</v>
      </c>
      <c r="C23" s="33">
        <f>calibration!C26</f>
        <v>56.539410061828484</v>
      </c>
      <c r="D23" s="172">
        <f t="shared" si="1"/>
        <v>0</v>
      </c>
      <c r="E23" s="72">
        <f t="shared" si="3"/>
        <v>-1</v>
      </c>
      <c r="F23" s="27">
        <f>BINOMDIST(B23,20,Data!p,0)</f>
        <v>0.12013435363769544</v>
      </c>
      <c r="G23" s="60">
        <v>0</v>
      </c>
      <c r="H23" s="145">
        <f t="shared" si="2"/>
        <v>0</v>
      </c>
      <c r="I23" s="112">
        <f>SUM(G23:$G$31)</f>
        <v>0</v>
      </c>
      <c r="J23" s="80"/>
    </row>
    <row r="24" spans="2:9" ht="12.75">
      <c r="B24" s="18">
        <v>7</v>
      </c>
      <c r="C24" s="79">
        <f>calibration!C27</f>
        <v>54.56101355177052</v>
      </c>
      <c r="D24" s="172">
        <f t="shared" si="1"/>
        <v>0</v>
      </c>
      <c r="E24" s="72">
        <f t="shared" si="3"/>
        <v>-1</v>
      </c>
      <c r="F24" s="27">
        <f>BINOMDIST(B24,20,Data!p,0)</f>
        <v>0.07392883300781257</v>
      </c>
      <c r="G24" s="60">
        <v>0</v>
      </c>
      <c r="H24" s="145">
        <f t="shared" si="2"/>
        <v>0</v>
      </c>
      <c r="I24" s="112">
        <f>SUM(G24:$G$31)</f>
        <v>0</v>
      </c>
    </row>
    <row r="25" spans="2:10" ht="12.75">
      <c r="B25" s="18">
        <v>6</v>
      </c>
      <c r="C25" s="79">
        <f>calibration!C28</f>
        <v>52.6518440242143</v>
      </c>
      <c r="D25" s="172">
        <f t="shared" si="1"/>
        <v>0</v>
      </c>
      <c r="E25" s="72">
        <f t="shared" si="3"/>
        <v>-1</v>
      </c>
      <c r="F25" s="27">
        <f>BINOMDIST(B25,20,Data!p,0)</f>
        <v>0.03696441650390628</v>
      </c>
      <c r="G25" s="60">
        <v>0</v>
      </c>
      <c r="H25" s="145">
        <f t="shared" si="2"/>
        <v>0</v>
      </c>
      <c r="I25" s="112">
        <f>SUM(G25:$G$31)</f>
        <v>0</v>
      </c>
      <c r="J25" s="80"/>
    </row>
    <row r="26" spans="2:9" ht="12.75">
      <c r="B26" s="18">
        <v>5</v>
      </c>
      <c r="C26" s="33">
        <f>calibration!C29</f>
        <v>50.80947912596526</v>
      </c>
      <c r="D26" s="172">
        <f t="shared" si="1"/>
        <v>0</v>
      </c>
      <c r="E26" s="72">
        <f t="shared" si="3"/>
        <v>-1</v>
      </c>
      <c r="F26" s="27">
        <f>BINOMDIST(B26,20,Data!p,0)</f>
        <v>0.014785766601562505</v>
      </c>
      <c r="G26" s="60">
        <v>0</v>
      </c>
      <c r="H26" s="145">
        <f t="shared" si="2"/>
        <v>0</v>
      </c>
      <c r="I26" s="112">
        <f>SUM(G26:$G$31)</f>
        <v>0</v>
      </c>
    </row>
    <row r="27" spans="2:10" ht="12.75">
      <c r="B27" s="18">
        <v>4</v>
      </c>
      <c r="C27" s="33">
        <f>calibration!C30</f>
        <v>49.031581265503895</v>
      </c>
      <c r="D27" s="172">
        <f t="shared" si="1"/>
        <v>0</v>
      </c>
      <c r="E27" s="72">
        <f t="shared" si="3"/>
        <v>-1</v>
      </c>
      <c r="F27" s="27">
        <f>BINOMDIST(B27,20,Data!p,0)</f>
        <v>0.004620552062988283</v>
      </c>
      <c r="G27" s="60">
        <v>0</v>
      </c>
      <c r="H27" s="145">
        <f t="shared" si="2"/>
        <v>0</v>
      </c>
      <c r="I27" s="112">
        <f>SUM(G27:$G$31)</f>
        <v>0</v>
      </c>
      <c r="J27" s="80"/>
    </row>
    <row r="28" spans="2:9" ht="12.75">
      <c r="B28" s="18">
        <v>3</v>
      </c>
      <c r="C28" s="33">
        <f>calibration!C31</f>
        <v>47.31589464705106</v>
      </c>
      <c r="D28" s="172">
        <f t="shared" si="1"/>
        <v>0</v>
      </c>
      <c r="E28" s="72">
        <f t="shared" si="3"/>
        <v>-1</v>
      </c>
      <c r="F28" s="27">
        <f>BINOMDIST(B28,20,Data!p,0)</f>
        <v>0.0010871887207031254</v>
      </c>
      <c r="G28" s="60">
        <v>0</v>
      </c>
      <c r="H28" s="145">
        <f t="shared" si="2"/>
        <v>0</v>
      </c>
      <c r="I28" s="112">
        <f>SUM(G28:$G$31)</f>
        <v>0</v>
      </c>
    </row>
    <row r="29" spans="2:9" ht="12.75">
      <c r="B29" s="18">
        <v>2</v>
      </c>
      <c r="C29" s="33">
        <f>calibration!C32</f>
        <v>45.66024240841557</v>
      </c>
      <c r="D29" s="172">
        <f t="shared" si="1"/>
        <v>0</v>
      </c>
      <c r="E29" s="72">
        <f t="shared" si="3"/>
        <v>-1</v>
      </c>
      <c r="F29" s="27">
        <f>BINOMDIST(B29,20,Data!p,0)</f>
        <v>0.00018119812011718753</v>
      </c>
      <c r="G29" s="60">
        <v>0</v>
      </c>
      <c r="H29" s="145">
        <f t="shared" si="2"/>
        <v>0</v>
      </c>
      <c r="I29" s="112">
        <f>SUM(G29:$G$31)</f>
        <v>0</v>
      </c>
    </row>
    <row r="30" spans="2:9" ht="12.75">
      <c r="B30" s="18">
        <v>1</v>
      </c>
      <c r="C30" s="33">
        <f>calibration!C33</f>
        <v>44.0625238589927</v>
      </c>
      <c r="D30" s="172">
        <f t="shared" si="1"/>
        <v>0</v>
      </c>
      <c r="E30" s="72">
        <f t="shared" si="3"/>
        <v>-1</v>
      </c>
      <c r="F30" s="27">
        <f>BINOMDIST(B30,20,Data!p,0)</f>
        <v>1.9073486328125E-05</v>
      </c>
      <c r="G30" s="60">
        <v>0</v>
      </c>
      <c r="H30" s="145">
        <f t="shared" si="2"/>
        <v>0</v>
      </c>
      <c r="I30" s="112">
        <f>SUM(G30:$G$31)</f>
        <v>0</v>
      </c>
    </row>
    <row r="31" spans="2:9" ht="12.75">
      <c r="B31" s="23">
        <v>0</v>
      </c>
      <c r="C31" s="34">
        <f>calibration!C34</f>
        <v>42.52071181440912</v>
      </c>
      <c r="D31" s="173">
        <f t="shared" si="1"/>
        <v>0</v>
      </c>
      <c r="E31" s="77">
        <f t="shared" si="3"/>
        <v>-1</v>
      </c>
      <c r="F31" s="28">
        <f>BINOMDIST(B31,20,Data!p,0)</f>
        <v>9.5367431640625E-07</v>
      </c>
      <c r="G31" s="143">
        <v>0</v>
      </c>
      <c r="H31" s="149">
        <f t="shared" si="2"/>
        <v>0</v>
      </c>
      <c r="I31" s="116">
        <f>SUM(G31:$G$31)</f>
        <v>0</v>
      </c>
    </row>
    <row r="32" spans="7:9" ht="12.75">
      <c r="G32" s="92" t="s">
        <v>76</v>
      </c>
      <c r="H32" s="89">
        <f>SUM(H11:H31)</f>
        <v>0.27457245861972623</v>
      </c>
      <c r="I32" s="37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375" style="2" customWidth="1"/>
    <col min="2" max="2" width="11.00390625" style="2" customWidth="1"/>
    <col min="3" max="3" width="10.75390625" style="2" bestFit="1" customWidth="1"/>
    <col min="4" max="4" width="11.25390625" style="2" customWidth="1"/>
    <col min="5" max="5" width="11.00390625" style="2" customWidth="1"/>
    <col min="6" max="6" width="12.75390625" style="2" bestFit="1" customWidth="1"/>
    <col min="7" max="7" width="13.25390625" style="2" bestFit="1" customWidth="1"/>
    <col min="8" max="8" width="12.375" style="2" bestFit="1" customWidth="1"/>
    <col min="9" max="9" width="9.25390625" style="2" bestFit="1" customWidth="1"/>
    <col min="10" max="10" width="12.125" style="2" bestFit="1" customWidth="1"/>
    <col min="11" max="11" width="8.00390625" style="2" customWidth="1"/>
    <col min="12" max="12" width="12.125" style="2" bestFit="1" customWidth="1"/>
    <col min="13" max="16384" width="9.125" style="2" customWidth="1"/>
  </cols>
  <sheetData>
    <row r="1" s="3" customFormat="1" ht="12.75">
      <c r="B1" s="3" t="s">
        <v>0</v>
      </c>
    </row>
    <row r="2" s="3" customFormat="1" ht="12.75">
      <c r="B2" s="3" t="s">
        <v>1</v>
      </c>
    </row>
    <row r="3" spans="2:6" s="1" customFormat="1" ht="12.75">
      <c r="B3" s="1" t="s">
        <v>74</v>
      </c>
      <c r="C3" s="14" t="s">
        <v>67</v>
      </c>
      <c r="D3" s="15"/>
      <c r="E3" s="16"/>
      <c r="F3" s="35"/>
    </row>
    <row r="4" ht="12.75"/>
    <row r="5" spans="1:9" ht="12.75">
      <c r="A5" s="35"/>
      <c r="C5" s="54"/>
      <c r="D5" s="58"/>
      <c r="E5" s="35"/>
      <c r="F5" s="55"/>
      <c r="G5" s="55"/>
      <c r="H5" s="35"/>
      <c r="I5" s="2">
        <v>50</v>
      </c>
    </row>
    <row r="6" spans="1:10" ht="13.5" thickBot="1">
      <c r="A6" s="35"/>
      <c r="B6" s="35"/>
      <c r="C6" s="54"/>
      <c r="D6" s="67" t="s">
        <v>62</v>
      </c>
      <c r="E6" s="68" t="s">
        <v>63</v>
      </c>
      <c r="F6" s="70" t="s">
        <v>64</v>
      </c>
      <c r="G6" s="74" t="s">
        <v>86</v>
      </c>
      <c r="H6" s="159" t="s">
        <v>87</v>
      </c>
      <c r="I6" s="160"/>
      <c r="J6" s="161"/>
    </row>
    <row r="7" spans="1:12" ht="12.75">
      <c r="A7" s="35"/>
      <c r="B7" s="17" t="s">
        <v>60</v>
      </c>
      <c r="C7" s="65"/>
      <c r="D7" s="155">
        <f>r_f_hor</f>
        <v>0.006315899781798029</v>
      </c>
      <c r="E7" s="76">
        <f>stock!D5</f>
        <v>0.026788415953981633</v>
      </c>
      <c r="F7" s="61">
        <f>'call-58'!D5</f>
        <v>0.09569300903881972</v>
      </c>
      <c r="G7" s="76">
        <f>'bull-58-60'!D5</f>
        <v>0.3840939692383531</v>
      </c>
      <c r="H7" s="75">
        <f>I7*G7+I8*D7</f>
        <v>0.026788071143718204</v>
      </c>
      <c r="I7" s="175">
        <f>5.4191%+(I5-50)/1000</f>
        <v>0.054191</v>
      </c>
      <c r="J7" s="62" t="s">
        <v>91</v>
      </c>
      <c r="L7" s="4" t="s">
        <v>2</v>
      </c>
    </row>
    <row r="8" spans="1:12" ht="13.5" thickBot="1">
      <c r="A8" s="35"/>
      <c r="B8" s="51" t="s">
        <v>61</v>
      </c>
      <c r="C8" s="52"/>
      <c r="D8" s="156">
        <v>0</v>
      </c>
      <c r="E8" s="78">
        <f>stock!D7</f>
        <v>0.039256921644551676</v>
      </c>
      <c r="F8" s="71">
        <f>'call-58'!D7</f>
        <v>0.7154405038476713</v>
      </c>
      <c r="G8" s="78">
        <f>'bull-58-60'!D7</f>
        <v>0.5239966208094535</v>
      </c>
      <c r="H8" s="41">
        <f>I7*G8</f>
        <v>0.0283959008782851</v>
      </c>
      <c r="I8" s="174">
        <f>1-I7</f>
        <v>0.945809</v>
      </c>
      <c r="J8" s="63" t="s">
        <v>66</v>
      </c>
      <c r="L8" s="5" t="s">
        <v>3</v>
      </c>
    </row>
    <row r="9" spans="1:12" ht="12.75">
      <c r="A9" s="35"/>
      <c r="B9" s="64" t="s">
        <v>65</v>
      </c>
      <c r="C9" s="15"/>
      <c r="D9" s="66"/>
      <c r="E9" s="157">
        <f>(E7-$D$7)/E8</f>
        <v>0.5215008032863654</v>
      </c>
      <c r="F9" s="158">
        <f>(F7-$D$7)/F8</f>
        <v>0.12492598444782978</v>
      </c>
      <c r="G9" s="158">
        <f>(G7-$D$7)/G8</f>
        <v>0.7209551635523438</v>
      </c>
      <c r="H9" s="154">
        <f>(H7-$D$7)/H8</f>
        <v>0.7209551635523438</v>
      </c>
      <c r="L9" s="6" t="s">
        <v>4</v>
      </c>
    </row>
    <row r="10" spans="1:12" ht="12.75">
      <c r="A10" s="35"/>
      <c r="B10" s="108" t="s">
        <v>77</v>
      </c>
      <c r="C10" s="36"/>
      <c r="D10" s="31"/>
      <c r="E10" s="109">
        <f>stock!H6</f>
        <v>447.35256104241125</v>
      </c>
      <c r="F10" s="110">
        <f>'call-58'!I6</f>
        <v>12408.693242313706</v>
      </c>
      <c r="G10" s="109">
        <f>'bull-58-60'!I6</f>
        <v>7602.450597879734</v>
      </c>
      <c r="H10" s="111">
        <f>I7*G10</f>
        <v>411.9844003497007</v>
      </c>
      <c r="L10" s="7" t="s">
        <v>5</v>
      </c>
    </row>
    <row r="11" spans="1:8" ht="12.75">
      <c r="A11" s="35"/>
      <c r="B11" s="55"/>
      <c r="C11" s="56"/>
      <c r="D11" s="19"/>
      <c r="E11" s="20"/>
      <c r="F11" s="20"/>
      <c r="G11" s="57"/>
      <c r="H11" s="35"/>
    </row>
    <row r="12" spans="1:8" ht="12.75">
      <c r="A12" s="35"/>
      <c r="B12" s="55"/>
      <c r="C12" s="56"/>
      <c r="D12" s="19"/>
      <c r="E12" s="20"/>
      <c r="F12" s="20"/>
      <c r="G12" s="57"/>
      <c r="H12" s="35"/>
    </row>
    <row r="13" spans="1:8" ht="12.75">
      <c r="A13" s="35"/>
      <c r="B13" s="55"/>
      <c r="C13" s="56"/>
      <c r="D13" s="19"/>
      <c r="E13" s="20"/>
      <c r="F13" s="20"/>
      <c r="G13" s="57"/>
      <c r="H13" s="35"/>
    </row>
    <row r="14" spans="1:8" ht="12.75">
      <c r="A14" s="35"/>
      <c r="B14" s="55"/>
      <c r="C14" s="56"/>
      <c r="D14" s="19"/>
      <c r="E14" s="20"/>
      <c r="F14" s="20"/>
      <c r="G14" s="57"/>
      <c r="H14" s="35"/>
    </row>
    <row r="15" spans="1:8" ht="12.75">
      <c r="A15" s="35"/>
      <c r="B15" s="55"/>
      <c r="C15" s="56"/>
      <c r="D15" s="19"/>
      <c r="E15" s="20"/>
      <c r="F15" s="20"/>
      <c r="G15" s="57"/>
      <c r="H15" s="35"/>
    </row>
    <row r="16" spans="1:8" ht="12.75">
      <c r="A16" s="35"/>
      <c r="B16" s="55"/>
      <c r="C16" s="56"/>
      <c r="D16" s="19"/>
      <c r="E16" s="20"/>
      <c r="F16" s="20"/>
      <c r="G16" s="57"/>
      <c r="H16" s="35"/>
    </row>
    <row r="17" spans="1:8" ht="12.75">
      <c r="A17" s="35"/>
      <c r="B17" s="55"/>
      <c r="C17" s="56"/>
      <c r="D17" s="19"/>
      <c r="E17" s="20"/>
      <c r="F17" s="20"/>
      <c r="G17" s="57"/>
      <c r="H17" s="35"/>
    </row>
    <row r="18" spans="1:8" ht="12.75">
      <c r="A18" s="35"/>
      <c r="B18" s="55"/>
      <c r="C18" s="56"/>
      <c r="D18" s="19"/>
      <c r="E18" s="20"/>
      <c r="F18" s="20"/>
      <c r="G18" s="57"/>
      <c r="H18" s="35"/>
    </row>
    <row r="19" spans="1:8" ht="12.75">
      <c r="A19" s="35"/>
      <c r="B19" s="55"/>
      <c r="C19" s="56"/>
      <c r="D19" s="19"/>
      <c r="E19" s="20"/>
      <c r="F19" s="20"/>
      <c r="G19" s="57"/>
      <c r="H19" s="35"/>
    </row>
    <row r="20" spans="1:8" ht="12.75">
      <c r="A20" s="35"/>
      <c r="B20" s="55"/>
      <c r="C20" s="56"/>
      <c r="D20" s="19"/>
      <c r="E20" s="20"/>
      <c r="F20" s="20"/>
      <c r="G20" s="57"/>
      <c r="H20" s="35"/>
    </row>
    <row r="21" spans="1:8" ht="12.75">
      <c r="A21" s="35"/>
      <c r="B21" s="55"/>
      <c r="C21" s="56"/>
      <c r="D21" s="19"/>
      <c r="E21" s="20"/>
      <c r="F21" s="20"/>
      <c r="G21" s="57"/>
      <c r="H21" s="35"/>
    </row>
    <row r="22" spans="1:8" ht="12.75">
      <c r="A22" s="35"/>
      <c r="B22" s="55"/>
      <c r="C22" s="56"/>
      <c r="D22" s="19"/>
      <c r="E22" s="20"/>
      <c r="F22" s="20"/>
      <c r="G22" s="57"/>
      <c r="H22" s="35"/>
    </row>
    <row r="23" spans="1:8" ht="12.75">
      <c r="A23" s="35"/>
      <c r="B23" s="55"/>
      <c r="C23" s="56"/>
      <c r="D23" s="19"/>
      <c r="E23" s="20"/>
      <c r="F23" s="20"/>
      <c r="G23" s="57"/>
      <c r="H23" s="35"/>
    </row>
    <row r="24" spans="1:8" ht="12.75">
      <c r="A24" s="35"/>
      <c r="B24" s="55"/>
      <c r="C24" s="56"/>
      <c r="D24" s="19"/>
      <c r="E24" s="20"/>
      <c r="F24" s="20"/>
      <c r="G24" s="57"/>
      <c r="H24" s="59"/>
    </row>
    <row r="25" spans="1:8" ht="12.75">
      <c r="A25" s="35"/>
      <c r="B25" s="55"/>
      <c r="C25" s="56"/>
      <c r="D25" s="19"/>
      <c r="E25" s="20"/>
      <c r="F25" s="20"/>
      <c r="G25" s="57"/>
      <c r="H25" s="35"/>
    </row>
    <row r="26" spans="1:8" ht="12.75">
      <c r="A26" s="35"/>
      <c r="B26" s="55"/>
      <c r="C26" s="56"/>
      <c r="D26" s="19"/>
      <c r="E26" s="20"/>
      <c r="F26" s="20"/>
      <c r="G26" s="57"/>
      <c r="H26" s="59"/>
    </row>
    <row r="27" spans="1:8" ht="12.75">
      <c r="A27" s="35"/>
      <c r="B27" s="55"/>
      <c r="C27" s="56"/>
      <c r="D27" s="19"/>
      <c r="E27" s="20"/>
      <c r="F27" s="20"/>
      <c r="G27" s="57"/>
      <c r="H27" s="35"/>
    </row>
    <row r="28" spans="1:8" ht="12.75">
      <c r="A28" s="35"/>
      <c r="B28" s="55"/>
      <c r="C28" s="56"/>
      <c r="D28" s="19"/>
      <c r="E28" s="20"/>
      <c r="F28" s="20"/>
      <c r="G28" s="57"/>
      <c r="H28" s="35"/>
    </row>
    <row r="29" spans="1:8" ht="12.75">
      <c r="A29" s="35"/>
      <c r="B29" s="55"/>
      <c r="C29" s="56"/>
      <c r="D29" s="19"/>
      <c r="E29" s="20"/>
      <c r="F29" s="20"/>
      <c r="G29" s="57"/>
      <c r="H29" s="35"/>
    </row>
    <row r="30" spans="1:8" ht="12.75">
      <c r="A30" s="35"/>
      <c r="B30" s="55"/>
      <c r="C30" s="56"/>
      <c r="D30" s="19"/>
      <c r="E30" s="20"/>
      <c r="F30" s="20"/>
      <c r="G30" s="57"/>
      <c r="H30" s="35"/>
    </row>
    <row r="31" spans="1:8" ht="12.75">
      <c r="A31" s="35"/>
      <c r="B31" s="35"/>
      <c r="C31" s="35"/>
      <c r="D31" s="35"/>
      <c r="E31" s="35"/>
      <c r="F31" s="60"/>
      <c r="G31" s="37"/>
      <c r="H31" s="35"/>
    </row>
    <row r="32" spans="1:8" ht="12.75">
      <c r="A32" s="35"/>
      <c r="B32" s="35"/>
      <c r="C32" s="35"/>
      <c r="D32" s="35"/>
      <c r="E32" s="35"/>
      <c r="F32" s="35"/>
      <c r="G32" s="35"/>
      <c r="H32" s="35"/>
    </row>
    <row r="33" spans="1:8" ht="12.75">
      <c r="A33" s="35"/>
      <c r="B33" s="35"/>
      <c r="C33" s="35"/>
      <c r="D33" s="35"/>
      <c r="E33" s="35"/>
      <c r="F33" s="35"/>
      <c r="G33" s="35"/>
      <c r="H33" s="35"/>
    </row>
  </sheetData>
  <mergeCells count="1">
    <mergeCell ref="H6:J6"/>
  </mergeCells>
  <printOptions/>
  <pageMargins left="0.75" right="0.75" top="1" bottom="1" header="0.5" footer="0.5"/>
  <pageSetup horizontalDpi="300" verticalDpi="300" orientation="portrait" paperSize="9" r:id="rId5"/>
  <drawing r:id="rId4"/>
  <legacyDrawing r:id="rId3"/>
  <oleObjects>
    <oleObject progId="Word.Document.8" shapeId="436457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Capinski</dc:creator>
  <cp:keywords/>
  <dc:description/>
  <cp:lastModifiedBy>Tomasz Zastawniak</cp:lastModifiedBy>
  <dcterms:created xsi:type="dcterms:W3CDTF">2004-01-11T13:07:09Z</dcterms:created>
  <dcterms:modified xsi:type="dcterms:W3CDTF">2004-02-14T23:17:00Z</dcterms:modified>
  <cp:category/>
  <cp:version/>
  <cp:contentType/>
  <cp:contentStatus/>
</cp:coreProperties>
</file>